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meeda_Projects\TAT_MS_INTERCITY\Data\Results\Master_Summary\"/>
    </mc:Choice>
  </mc:AlternateContent>
  <bookViews>
    <workbookView xWindow="0" yWindow="0" windowWidth="21570" windowHeight="10125" firstSheet="1" activeTab="3"/>
  </bookViews>
  <sheets>
    <sheet name="Calc" sheetId="29" state="hidden" r:id="rId1"/>
    <sheet name="Model" sheetId="28" r:id="rId2"/>
    <sheet name="Trip_Input" sheetId="27" r:id="rId3"/>
    <sheet name="Dashboard" sheetId="26" r:id="rId4"/>
    <sheet name="00_Index" sheetId="1" r:id="rId5"/>
    <sheet name="01_All_Pairs" sheetId="2" r:id="rId6"/>
    <sheet name="02_INTERCITY" sheetId="3" r:id="rId7"/>
    <sheet name="03_Same_Day_All" sheetId="4" r:id="rId8"/>
    <sheet name="04_Same_Day_INTERCITY" sheetId="5" r:id="rId9"/>
    <sheet name="05_Diff_Day_Time_All" sheetId="6" r:id="rId10"/>
    <sheet name="06_Diff_Day_Time_INTERCITY" sheetId="7" r:id="rId11"/>
    <sheet name="07_STRICT" sheetId="8" r:id="rId12"/>
    <sheet name="08_NONSTRICT" sheetId="9" r:id="rId13"/>
    <sheet name="09_COMBINED" sheetId="10" r:id="rId14"/>
    <sheet name="D01_Chennai_to_Pondicherry_STRI" sheetId="11" r:id="rId15"/>
    <sheet name="D02_Chennai_to_Pondicherry_NONS" sheetId="12" r:id="rId16"/>
    <sheet name="D03_Madhuravoyal_to_Madiwala_ST" sheetId="13" r:id="rId17"/>
    <sheet name="D04_Madhuravoyal_to_Madiwala_NO" sheetId="14" r:id="rId18"/>
    <sheet name="D05_Madiwala_to_Madhuravoyal_ST" sheetId="15" r:id="rId19"/>
    <sheet name="D06_Madiwala_to_Madhuravoyal_NO" sheetId="16" r:id="rId20"/>
    <sheet name="D07_Maduravoyal_to_Silk_Board_N" sheetId="17" r:id="rId21"/>
    <sheet name="D08_Pondicherry_to_Chennai_STRI" sheetId="18" r:id="rId22"/>
    <sheet name="D09_Pondicherry_to_Chennai_NONS" sheetId="19" r:id="rId23"/>
    <sheet name="D10_Silk_Board_to_Maduravoyal_S" sheetId="20" r:id="rId24"/>
    <sheet name="D11_Silk_Board_to_Maduravoyal_N" sheetId="21" r:id="rId25"/>
    <sheet name="R01_Chennai_Pondicherry" sheetId="22" r:id="rId26"/>
    <sheet name="R02_Madhuravoyal_to_Madiwala" sheetId="23" r:id="rId27"/>
    <sheet name="R03_Madiwala_to_Madhuravoyal" sheetId="24" r:id="rId28"/>
    <sheet name="R04_Maduravoyal_Silk_Board" sheetId="25" r:id="rId29"/>
  </sheets>
  <definedNames>
    <definedName name="_xlnm._FilterDatabase" localSheetId="5" hidden="1">'01_All_Pairs'!$A$178:$M$286</definedName>
    <definedName name="_xlnm._FilterDatabase" localSheetId="6" hidden="1">'02_INTERCITY'!$A$178:$M$286</definedName>
    <definedName name="_xlnm._FilterDatabase" localSheetId="7" hidden="1">'03_Same_Day_All'!$A$55:$M$81</definedName>
    <definedName name="_xlnm._FilterDatabase" localSheetId="8" hidden="1">'04_Same_Day_INTERCITY'!$A$55:$M$81</definedName>
    <definedName name="_xlnm._FilterDatabase" localSheetId="9" hidden="1">'05_Diff_Day_Time_All'!$A$61:$M$91</definedName>
    <definedName name="_xlnm._FilterDatabase" localSheetId="10" hidden="1">'06_Diff_Day_Time_INTERCITY'!$A$61:$M$91</definedName>
    <definedName name="_xlnm._FilterDatabase" localSheetId="11" hidden="1">'07_STRICT'!$A$58:$M$86</definedName>
    <definedName name="_xlnm._FilterDatabase" localSheetId="12" hidden="1">'08_NONSTRICT'!$A$136:$M$216</definedName>
    <definedName name="_xlnm._FilterDatabase" localSheetId="13" hidden="1">'09_COMBINED'!$A$178:$M$286</definedName>
    <definedName name="_xlnm._FilterDatabase" localSheetId="14" hidden="1">D01_Chennai_to_Pondicherry_STRI!$A$28:$M$36</definedName>
    <definedName name="_xlnm._FilterDatabase" localSheetId="15" hidden="1">D02_Chennai_to_Pondicherry_NONS!$A$52:$M$76</definedName>
    <definedName name="_xlnm._FilterDatabase" localSheetId="16" hidden="1">D03_Madhuravoyal_to_Madiwala_ST!$A$22:$M$26</definedName>
    <definedName name="_xlnm._FilterDatabase" localSheetId="17" hidden="1">D04_Madhuravoyal_to_Madiwala_NO!$A$28:$M$36</definedName>
    <definedName name="_xlnm._FilterDatabase" localSheetId="18" hidden="1">D05_Madiwala_to_Madhuravoyal_ST!$A$25:$M$31</definedName>
    <definedName name="_xlnm._FilterDatabase" localSheetId="19" hidden="1">D06_Madiwala_to_Madhuravoyal_NO!$A$34:$M$46</definedName>
    <definedName name="_xlnm._FilterDatabase" localSheetId="20" hidden="1">D07_Maduravoyal_to_Silk_Board_N!$A$22:$M$26</definedName>
    <definedName name="_xlnm._FilterDatabase" localSheetId="21" hidden="1">D08_Pondicherry_to_Chennai_STRI!$A$28:$M$36</definedName>
    <definedName name="_xlnm._FilterDatabase" localSheetId="22" hidden="1">D09_Pondicherry_to_Chennai_NONS!$A$52:$M$76</definedName>
    <definedName name="_xlnm._FilterDatabase" localSheetId="23" hidden="1">D10_Silk_Board_to_Maduravoyal_S!$A$19:$M$21</definedName>
    <definedName name="_xlnm._FilterDatabase" localSheetId="24" hidden="1">D11_Silk_Board_to_Maduravoyal_N!$A$28:$M$36</definedName>
    <definedName name="_xlnm._FilterDatabase" localSheetId="25" hidden="1">'R01_Chennai_Pondicherry'!$A$112:$M$176</definedName>
    <definedName name="_xlnm._FilterDatabase" localSheetId="26" hidden="1">'R02_Madhuravoyal_to_Madiwala'!$A$34:$M$46</definedName>
    <definedName name="_xlnm._FilterDatabase" localSheetId="27" hidden="1">'R03_Madiwala_to_Madhuravoyal'!$A$43:$M$61</definedName>
    <definedName name="_xlnm._FilterDatabase" localSheetId="28" hidden="1">'R04_Maduravoyal_Silk_Board'!$A$37:$M$51</definedName>
    <definedName name="TAT_Acc_D">Model!$E$16</definedName>
    <definedName name="TAT_Acc_EV">Model!$D$16</definedName>
    <definedName name="TAT_AuxBase_D">Model!$E$23</definedName>
    <definedName name="TAT_AuxBase_EV">Model!$D$23</definedName>
    <definedName name="TAT_Cal_Apply">Model!$D$38</definedName>
    <definedName name="TAT_CF_D">Model!$E$42</definedName>
    <definedName name="TAT_CF_EV">Model!$D$42</definedName>
    <definedName name="TAT_Crr_D">Model!$E$10</definedName>
    <definedName name="TAT_Crr_EV">Model!$D$10</definedName>
    <definedName name="TAT_Descent_Share">Model!$D$22</definedName>
    <definedName name="TAT_EF_Diesel">Model!$E$35</definedName>
    <definedName name="TAT_EF_Grid">Model!$D$34</definedName>
    <definedName name="TAT_EtaCharger">Model!$D$31</definedName>
    <definedName name="TAT_EtaEng_D">Model!$E$17</definedName>
    <definedName name="TAT_EtaPT_D">Model!$E$20</definedName>
    <definedName name="TAT_EtaPT_EV">Model!$D$20</definedName>
    <definedName name="TAT_G_acc">Model!$D$14</definedName>
    <definedName name="TAT_HVAC_k">Model!$D$24</definedName>
    <definedName name="TAT_HVAC_Tset">Model!$D$25</definedName>
    <definedName name="TAT_IdleFuel_D">Model!$E$28</definedName>
    <definedName name="TAT_Kaero_D">Model!$E$15</definedName>
    <definedName name="TAT_Kaero_EV">Model!$D$15</definedName>
    <definedName name="TAT_Kerb_D">Model!$E$6</definedName>
    <definedName name="TAT_Kerb_EV">Model!$D$6</definedName>
    <definedName name="TAT_L_Basis">Calc!$E$2:$E$3</definedName>
    <definedName name="TAT_L_Bus">Calc!$H$2:$H$3</definedName>
    <definedName name="TAT_L_Corr">Calc!$A$2:$A$5</definedName>
    <definedName name="TAT_L_Dir">OFFSET(Calc!$B$2,0,0,1+COUNTIF(Calc!$B$3:$B$8,"?*"),1)</definedName>
    <definedName name="TAT_L_Metric">Calc!$F$2:$F$5</definedName>
    <definedName name="TAT_L_Month">Calc!$C$2:$C$5</definedName>
    <definedName name="TAT_L_RouteCorr">Calc!$I$2:$I$4</definedName>
    <definedName name="TAT_L_RouteDir">Model!$B$81:$B$86</definedName>
    <definedName name="TAT_LHV_kWhL">Model!$E$30</definedName>
    <definedName name="TAT_Pax_Default">Model!$D$7</definedName>
    <definedName name="TAT_Pax_Mass">Model!$D$8</definedName>
    <definedName name="TAT_Price_Diesel">Model!$E$33</definedName>
    <definedName name="TAT_Regen_EV">Model!$D$21</definedName>
    <definedName name="TAT_Sel_Basis">Dashboard!$M$8</definedName>
    <definedName name="TAT_Sel_Corridor">Dashboard!$B$8</definedName>
    <definedName name="TAT_Sel_Direction">Dashboard!$F$8</definedName>
    <definedName name="TAT_Sel_DirEff">Calc!$L$2</definedName>
    <definedName name="TAT_Sel_Metric">Dashboard!$Q$8</definedName>
    <definedName name="TAT_Sel_Month">Dashboard!$J$8</definedName>
    <definedName name="TAT_Tariff_EV">Model!$D$32</definedName>
    <definedName name="TAT_Temp_Default">Model!$D$26</definedName>
  </definedNames>
  <calcPr calcId="162913"/>
</workbook>
</file>

<file path=xl/calcChain.xml><?xml version="1.0" encoding="utf-8"?>
<calcChain xmlns="http://schemas.openxmlformats.org/spreadsheetml/2006/main">
  <c r="Q33" i="26" l="1"/>
  <c r="O33" i="26"/>
  <c r="N33" i="26"/>
  <c r="L33" i="26"/>
  <c r="Q32" i="26"/>
  <c r="O32" i="26"/>
  <c r="N32" i="26"/>
  <c r="L32" i="26"/>
  <c r="Q31" i="26"/>
  <c r="O31" i="26"/>
  <c r="N31" i="26"/>
  <c r="L31" i="26"/>
  <c r="Q30" i="26"/>
  <c r="O30" i="26"/>
  <c r="N30" i="26"/>
  <c r="L30" i="26"/>
  <c r="Q29" i="26"/>
  <c r="O29" i="26"/>
  <c r="N29" i="26"/>
  <c r="L29" i="26"/>
  <c r="Q28" i="26"/>
  <c r="O28" i="26"/>
  <c r="N28" i="26"/>
  <c r="L28" i="26"/>
  <c r="Q27" i="26"/>
  <c r="O27" i="26"/>
  <c r="N27" i="26"/>
  <c r="L27" i="26"/>
  <c r="Q26" i="26"/>
  <c r="O26" i="26"/>
  <c r="N26" i="26"/>
  <c r="L26" i="26"/>
  <c r="Q25" i="26"/>
  <c r="O25" i="26"/>
  <c r="N25" i="26"/>
  <c r="L25" i="26"/>
  <c r="Q24" i="26"/>
  <c r="O24" i="26"/>
  <c r="N24" i="26"/>
  <c r="L24" i="26"/>
  <c r="O76" i="29"/>
  <c r="O75" i="29"/>
  <c r="O74" i="29"/>
  <c r="O73" i="29"/>
  <c r="O72" i="29"/>
  <c r="O71" i="29"/>
  <c r="L35" i="29"/>
  <c r="AA6" i="27"/>
  <c r="AB6" i="27"/>
  <c r="AC6" i="27"/>
  <c r="AH6" i="27"/>
  <c r="AI6" i="27"/>
  <c r="AJ6" i="27"/>
  <c r="AK6" i="27"/>
  <c r="AL6" i="27"/>
  <c r="AM6" i="27"/>
  <c r="AN6" i="27"/>
  <c r="AO6" i="27"/>
  <c r="AP6" i="27"/>
  <c r="AQ6" i="27"/>
  <c r="AR6" i="27"/>
  <c r="AS6" i="27"/>
  <c r="AT6" i="27"/>
  <c r="BD6" i="27"/>
  <c r="BF6" i="27"/>
  <c r="BH6" i="27"/>
  <c r="BM6" i="27"/>
  <c r="AA7" i="27"/>
  <c r="AB7" i="27"/>
  <c r="AC7" i="27"/>
  <c r="AH7" i="27"/>
  <c r="AI7" i="27"/>
  <c r="AJ7" i="27"/>
  <c r="AK7" i="27"/>
  <c r="AL7" i="27"/>
  <c r="AM7" i="27"/>
  <c r="AN7" i="27"/>
  <c r="AO7" i="27"/>
  <c r="AP7" i="27" s="1"/>
  <c r="AQ7" i="27"/>
  <c r="AR7" i="27"/>
  <c r="AS7" i="27"/>
  <c r="AT7" i="27"/>
  <c r="BE7" i="27"/>
  <c r="BH7" i="27"/>
  <c r="BV7" i="27" s="1"/>
  <c r="BL7" i="27"/>
  <c r="BP7" i="27"/>
  <c r="AA8" i="27"/>
  <c r="AB8" i="27"/>
  <c r="AC8" i="27"/>
  <c r="AH8" i="27"/>
  <c r="AI8" i="27"/>
  <c r="AJ8" i="27"/>
  <c r="BD8" i="27" s="1"/>
  <c r="AK8" i="27"/>
  <c r="AL8" i="27"/>
  <c r="AM8" i="27"/>
  <c r="AN8" i="27"/>
  <c r="AO8" i="27"/>
  <c r="AP8" i="27" s="1"/>
  <c r="AQ8" i="27"/>
  <c r="AR8" i="27"/>
  <c r="AS8" i="27"/>
  <c r="AT8" i="27"/>
  <c r="BF8" i="27"/>
  <c r="BH8" i="27"/>
  <c r="BV8" i="27" s="1"/>
  <c r="BM8" i="27"/>
  <c r="AA9" i="27"/>
  <c r="AB9" i="27"/>
  <c r="AC9" i="27"/>
  <c r="AE9" i="27" s="1"/>
  <c r="AH9" i="27"/>
  <c r="AI9" i="27"/>
  <c r="AJ9" i="27"/>
  <c r="AK9" i="27"/>
  <c r="AL9" i="27"/>
  <c r="AM9" i="27"/>
  <c r="AN9" i="27"/>
  <c r="AO9" i="27"/>
  <c r="AP9" i="27"/>
  <c r="AQ9" i="27"/>
  <c r="AR9" i="27"/>
  <c r="AS9" i="27"/>
  <c r="AT9" i="27"/>
  <c r="BE9" i="27"/>
  <c r="BH9" i="27"/>
  <c r="BV9" i="27" s="1"/>
  <c r="BL9" i="27"/>
  <c r="BP9" i="27"/>
  <c r="AA10" i="27"/>
  <c r="AB10" i="27"/>
  <c r="AC10" i="27"/>
  <c r="AH10" i="27"/>
  <c r="AI10" i="27"/>
  <c r="AJ10" i="27"/>
  <c r="AK10" i="27"/>
  <c r="AL10" i="27"/>
  <c r="AM10" i="27"/>
  <c r="AN10" i="27"/>
  <c r="AO10" i="27"/>
  <c r="BD10" i="27" s="1"/>
  <c r="AP10" i="27"/>
  <c r="AQ10" i="27"/>
  <c r="AR10" i="27"/>
  <c r="AS10" i="27"/>
  <c r="AT10" i="27"/>
  <c r="BF10" i="27"/>
  <c r="BH10" i="27"/>
  <c r="BV10" i="27" s="1"/>
  <c r="BM10" i="27"/>
  <c r="AA11" i="27"/>
  <c r="AB11" i="27"/>
  <c r="AC11" i="27"/>
  <c r="AH11" i="27"/>
  <c r="AI11" i="27"/>
  <c r="AJ11" i="27"/>
  <c r="AK11" i="27"/>
  <c r="AL11" i="27"/>
  <c r="AM11" i="27"/>
  <c r="AN11" i="27"/>
  <c r="AO11" i="27"/>
  <c r="AP11" i="27"/>
  <c r="AQ11" i="27"/>
  <c r="AR11" i="27"/>
  <c r="AS11" i="27"/>
  <c r="AT11" i="27"/>
  <c r="BE11" i="27"/>
  <c r="BH11" i="27"/>
  <c r="BV11" i="27" s="1"/>
  <c r="BL11" i="27"/>
  <c r="BP11" i="27"/>
  <c r="AA12" i="27"/>
  <c r="AB12" i="27"/>
  <c r="AC12" i="27"/>
  <c r="AH12" i="27"/>
  <c r="AW12" i="27" s="1"/>
  <c r="AI12" i="27"/>
  <c r="AJ12" i="27"/>
  <c r="AK12" i="27"/>
  <c r="AL12" i="27"/>
  <c r="AM12" i="27"/>
  <c r="AN12" i="27"/>
  <c r="AO12" i="27"/>
  <c r="AP12" i="27" s="1"/>
  <c r="AQ12" i="27"/>
  <c r="AR12" i="27"/>
  <c r="AS12" i="27"/>
  <c r="AT12" i="27"/>
  <c r="BF12" i="27"/>
  <c r="BH12" i="27"/>
  <c r="BV12" i="27" s="1"/>
  <c r="BM12" i="27"/>
  <c r="AA13" i="27"/>
  <c r="AB13" i="27"/>
  <c r="AC13" i="27"/>
  <c r="AH13" i="27"/>
  <c r="AI13" i="27"/>
  <c r="AJ13" i="27"/>
  <c r="AK13" i="27"/>
  <c r="AL13" i="27"/>
  <c r="AM13" i="27"/>
  <c r="AN13" i="27"/>
  <c r="AO13" i="27"/>
  <c r="AP13" i="27" s="1"/>
  <c r="AQ13" i="27"/>
  <c r="AR13" i="27"/>
  <c r="AS13" i="27"/>
  <c r="AT13" i="27"/>
  <c r="BE13" i="27"/>
  <c r="BH13" i="27"/>
  <c r="BV13" i="27" s="1"/>
  <c r="BL13" i="27"/>
  <c r="BP13" i="27"/>
  <c r="AA14" i="27"/>
  <c r="AB14" i="27"/>
  <c r="AC14" i="27"/>
  <c r="AH14" i="27"/>
  <c r="AI14" i="27"/>
  <c r="AJ14" i="27"/>
  <c r="AK14" i="27"/>
  <c r="AL14" i="27"/>
  <c r="AM14" i="27"/>
  <c r="AN14" i="27"/>
  <c r="AO14" i="27"/>
  <c r="AP14" i="27" s="1"/>
  <c r="AQ14" i="27"/>
  <c r="AR14" i="27"/>
  <c r="AS14" i="27"/>
  <c r="AT14" i="27"/>
  <c r="BF14" i="27"/>
  <c r="BH14" i="27"/>
  <c r="BV14" i="27" s="1"/>
  <c r="BM14" i="27"/>
  <c r="AA15" i="27"/>
  <c r="AE15" i="27" s="1"/>
  <c r="AB15" i="27"/>
  <c r="AC15" i="27"/>
  <c r="AH15" i="27"/>
  <c r="AI15" i="27"/>
  <c r="AJ15" i="27"/>
  <c r="AK15" i="27"/>
  <c r="AL15" i="27"/>
  <c r="AM15" i="27"/>
  <c r="AN15" i="27"/>
  <c r="AO15" i="27"/>
  <c r="AP15" i="27" s="1"/>
  <c r="AQ15" i="27"/>
  <c r="AR15" i="27"/>
  <c r="AS15" i="27"/>
  <c r="AT15" i="27"/>
  <c r="BE15" i="27"/>
  <c r="BH15" i="27"/>
  <c r="BV15" i="27" s="1"/>
  <c r="BL15" i="27"/>
  <c r="BP15" i="27"/>
  <c r="AA16" i="27"/>
  <c r="AB16" i="27"/>
  <c r="AC16" i="27"/>
  <c r="AE16" i="27"/>
  <c r="AH16" i="27"/>
  <c r="AI16" i="27"/>
  <c r="AJ16" i="27"/>
  <c r="AK16" i="27"/>
  <c r="AL16" i="27"/>
  <c r="AM16" i="27"/>
  <c r="AN16" i="27"/>
  <c r="AO16" i="27"/>
  <c r="AP16" i="27" s="1"/>
  <c r="AQ16" i="27"/>
  <c r="AR16" i="27"/>
  <c r="AS16" i="27"/>
  <c r="AT16" i="27"/>
  <c r="BF16" i="27"/>
  <c r="BH16" i="27"/>
  <c r="BV16" i="27" s="1"/>
  <c r="BM16" i="27"/>
  <c r="AA17" i="27"/>
  <c r="AB17" i="27"/>
  <c r="AC17" i="27"/>
  <c r="AH17" i="27"/>
  <c r="AI17" i="27"/>
  <c r="AJ17" i="27"/>
  <c r="AK17" i="27"/>
  <c r="AL17" i="27"/>
  <c r="AM17" i="27"/>
  <c r="AN17" i="27"/>
  <c r="AO17" i="27"/>
  <c r="AP17" i="27" s="1"/>
  <c r="AQ17" i="27"/>
  <c r="AR17" i="27"/>
  <c r="AS17" i="27"/>
  <c r="AT17" i="27"/>
  <c r="BE17" i="27"/>
  <c r="BH17" i="27"/>
  <c r="BV17" i="27" s="1"/>
  <c r="BL17" i="27"/>
  <c r="BP17" i="27"/>
  <c r="AA18" i="27"/>
  <c r="AB18" i="27"/>
  <c r="AC18" i="27"/>
  <c r="AH18" i="27"/>
  <c r="AI18" i="27"/>
  <c r="AJ18" i="27"/>
  <c r="AK18" i="27"/>
  <c r="AL18" i="27"/>
  <c r="AM18" i="27"/>
  <c r="AN18" i="27"/>
  <c r="AO18" i="27"/>
  <c r="AP18" i="27" s="1"/>
  <c r="AQ18" i="27"/>
  <c r="AR18" i="27"/>
  <c r="AS18" i="27"/>
  <c r="AT18" i="27"/>
  <c r="BF18" i="27"/>
  <c r="BH18" i="27"/>
  <c r="BV18" i="27" s="1"/>
  <c r="BM18" i="27"/>
  <c r="AA19" i="27"/>
  <c r="AB19" i="27"/>
  <c r="AC19" i="27"/>
  <c r="AH19" i="27"/>
  <c r="AI19" i="27"/>
  <c r="AJ19" i="27"/>
  <c r="AK19" i="27"/>
  <c r="AL19" i="27"/>
  <c r="AM19" i="27"/>
  <c r="AN19" i="27"/>
  <c r="AO19" i="27"/>
  <c r="AP19" i="27" s="1"/>
  <c r="AQ19" i="27"/>
  <c r="AR19" i="27"/>
  <c r="AS19" i="27"/>
  <c r="AT19" i="27"/>
  <c r="BE19" i="27"/>
  <c r="BH19" i="27"/>
  <c r="BL19" i="27"/>
  <c r="BP19" i="27"/>
  <c r="BV19" i="27"/>
  <c r="AA20" i="27"/>
  <c r="AB20" i="27"/>
  <c r="AC20" i="27"/>
  <c r="AH20" i="27"/>
  <c r="AI20" i="27"/>
  <c r="AJ20" i="27"/>
  <c r="AK20" i="27"/>
  <c r="AL20" i="27"/>
  <c r="AM20" i="27"/>
  <c r="AN20" i="27"/>
  <c r="AO20" i="27"/>
  <c r="AP20" i="27" s="1"/>
  <c r="AQ20" i="27"/>
  <c r="AR20" i="27"/>
  <c r="AS20" i="27"/>
  <c r="AT20" i="27"/>
  <c r="BF20" i="27"/>
  <c r="BH20" i="27"/>
  <c r="BV20" i="27" s="1"/>
  <c r="BM20" i="27"/>
  <c r="AA21" i="27"/>
  <c r="AB21" i="27"/>
  <c r="AC21" i="27"/>
  <c r="AH21" i="27"/>
  <c r="AI21" i="27"/>
  <c r="AJ21" i="27"/>
  <c r="AK21" i="27"/>
  <c r="AL21" i="27"/>
  <c r="AM21" i="27"/>
  <c r="AN21" i="27"/>
  <c r="AO21" i="27"/>
  <c r="AP21" i="27" s="1"/>
  <c r="AQ21" i="27"/>
  <c r="AR21" i="27"/>
  <c r="AS21" i="27"/>
  <c r="AT21" i="27"/>
  <c r="BE21" i="27"/>
  <c r="BH21" i="27"/>
  <c r="BL21" i="27"/>
  <c r="BP21" i="27"/>
  <c r="BV21" i="27"/>
  <c r="AA22" i="27"/>
  <c r="AB22" i="27"/>
  <c r="AC22" i="27"/>
  <c r="AH22" i="27"/>
  <c r="AI22" i="27"/>
  <c r="AJ22" i="27"/>
  <c r="AK22" i="27"/>
  <c r="AL22" i="27"/>
  <c r="AM22" i="27"/>
  <c r="AN22" i="27"/>
  <c r="AO22" i="27"/>
  <c r="AP22" i="27" s="1"/>
  <c r="AQ22" i="27"/>
  <c r="AR22" i="27"/>
  <c r="AS22" i="27"/>
  <c r="AT22" i="27"/>
  <c r="BF22" i="27"/>
  <c r="BH22" i="27"/>
  <c r="BM22" i="27"/>
  <c r="BV22" i="27"/>
  <c r="AA23" i="27"/>
  <c r="AB23" i="27"/>
  <c r="AC23" i="27"/>
  <c r="AH23" i="27"/>
  <c r="AI23" i="27"/>
  <c r="AJ23" i="27"/>
  <c r="AK23" i="27"/>
  <c r="AL23" i="27"/>
  <c r="AM23" i="27"/>
  <c r="AN23" i="27"/>
  <c r="AO23" i="27"/>
  <c r="AP23" i="27" s="1"/>
  <c r="AQ23" i="27"/>
  <c r="AR23" i="27"/>
  <c r="AS23" i="27"/>
  <c r="AT23" i="27"/>
  <c r="BE23" i="27"/>
  <c r="BH23" i="27"/>
  <c r="BL23" i="27"/>
  <c r="BP23" i="27"/>
  <c r="BV23" i="27"/>
  <c r="AA24" i="27"/>
  <c r="AB24" i="27"/>
  <c r="AC24" i="27"/>
  <c r="AH24" i="27"/>
  <c r="AI24" i="27"/>
  <c r="AJ24" i="27"/>
  <c r="AK24" i="27"/>
  <c r="AL24" i="27"/>
  <c r="AM24" i="27"/>
  <c r="AN24" i="27"/>
  <c r="AO24" i="27"/>
  <c r="AP24" i="27" s="1"/>
  <c r="AQ24" i="27"/>
  <c r="AR24" i="27"/>
  <c r="AS24" i="27"/>
  <c r="AT24" i="27"/>
  <c r="BF24" i="27"/>
  <c r="BH24" i="27"/>
  <c r="BV24" i="27" s="1"/>
  <c r="BM24" i="27"/>
  <c r="AA25" i="27"/>
  <c r="AB25" i="27"/>
  <c r="AC25" i="27"/>
  <c r="AH25" i="27"/>
  <c r="AI25" i="27"/>
  <c r="AJ25" i="27"/>
  <c r="AK25" i="27"/>
  <c r="AL25" i="27"/>
  <c r="AM25" i="27"/>
  <c r="AN25" i="27"/>
  <c r="AO25" i="27"/>
  <c r="AP25" i="27" s="1"/>
  <c r="AQ25" i="27"/>
  <c r="AR25" i="27"/>
  <c r="AS25" i="27"/>
  <c r="AT25" i="27"/>
  <c r="BE25" i="27"/>
  <c r="BH25" i="27"/>
  <c r="BV25" i="27" s="1"/>
  <c r="BL25" i="27"/>
  <c r="BP25" i="27"/>
  <c r="AA26" i="27"/>
  <c r="AB26" i="27"/>
  <c r="AC26" i="27"/>
  <c r="AH26" i="27"/>
  <c r="AI26" i="27"/>
  <c r="AJ26" i="27"/>
  <c r="AK26" i="27"/>
  <c r="AL26" i="27"/>
  <c r="AM26" i="27"/>
  <c r="AN26" i="27"/>
  <c r="AO26" i="27"/>
  <c r="AP26" i="27" s="1"/>
  <c r="AQ26" i="27"/>
  <c r="AR26" i="27"/>
  <c r="AS26" i="27"/>
  <c r="AT26" i="27"/>
  <c r="BF26" i="27"/>
  <c r="BH26" i="27"/>
  <c r="BM26" i="27"/>
  <c r="BV26" i="27"/>
  <c r="AA27" i="27"/>
  <c r="AB27" i="27"/>
  <c r="AC27" i="27"/>
  <c r="AH27" i="27"/>
  <c r="AI27" i="27"/>
  <c r="AJ27" i="27"/>
  <c r="AK27" i="27"/>
  <c r="AL27" i="27"/>
  <c r="AM27" i="27"/>
  <c r="AN27" i="27"/>
  <c r="AO27" i="27"/>
  <c r="AP27" i="27" s="1"/>
  <c r="AQ27" i="27"/>
  <c r="AR27" i="27"/>
  <c r="AS27" i="27"/>
  <c r="AT27" i="27"/>
  <c r="BE27" i="27"/>
  <c r="BH27" i="27"/>
  <c r="BV27" i="27" s="1"/>
  <c r="BL27" i="27"/>
  <c r="BP27" i="27"/>
  <c r="AA28" i="27"/>
  <c r="AB28" i="27"/>
  <c r="AC28" i="27"/>
  <c r="AH28" i="27"/>
  <c r="AI28" i="27"/>
  <c r="AJ28" i="27"/>
  <c r="AK28" i="27"/>
  <c r="AL28" i="27"/>
  <c r="AM28" i="27"/>
  <c r="AN28" i="27"/>
  <c r="AO28" i="27"/>
  <c r="AP28" i="27"/>
  <c r="AQ28" i="27"/>
  <c r="AR28" i="27"/>
  <c r="AS28" i="27"/>
  <c r="AT28" i="27"/>
  <c r="BF28" i="27"/>
  <c r="BH28" i="27"/>
  <c r="BM28" i="27"/>
  <c r="BV28" i="27"/>
  <c r="AA29" i="27"/>
  <c r="AB29" i="27"/>
  <c r="AC29" i="27"/>
  <c r="AH29" i="27"/>
  <c r="AI29" i="27"/>
  <c r="AJ29" i="27"/>
  <c r="AK29" i="27"/>
  <c r="AL29" i="27"/>
  <c r="AM29" i="27"/>
  <c r="AN29" i="27"/>
  <c r="AO29" i="27"/>
  <c r="AP29" i="27" s="1"/>
  <c r="AQ29" i="27"/>
  <c r="AR29" i="27"/>
  <c r="AS29" i="27"/>
  <c r="AT29" i="27"/>
  <c r="BE29" i="27"/>
  <c r="BH29" i="27"/>
  <c r="BL29" i="27"/>
  <c r="BP29" i="27"/>
  <c r="BV29" i="27"/>
  <c r="AA30" i="27"/>
  <c r="AB30" i="27"/>
  <c r="AC30" i="27"/>
  <c r="AH30" i="27"/>
  <c r="AI30" i="27"/>
  <c r="AJ30" i="27"/>
  <c r="AK30" i="27"/>
  <c r="AL30" i="27"/>
  <c r="AM30" i="27"/>
  <c r="AN30" i="27"/>
  <c r="AO30" i="27"/>
  <c r="AP30" i="27"/>
  <c r="AQ30" i="27"/>
  <c r="AR30" i="27"/>
  <c r="AS30" i="27"/>
  <c r="AT30" i="27"/>
  <c r="BF30" i="27"/>
  <c r="BH30" i="27"/>
  <c r="BV30" i="27" s="1"/>
  <c r="BM30" i="27"/>
  <c r="AA31" i="27"/>
  <c r="AB31" i="27"/>
  <c r="AC31" i="27"/>
  <c r="AH31" i="27"/>
  <c r="AI31" i="27"/>
  <c r="AJ31" i="27"/>
  <c r="AK31" i="27"/>
  <c r="AL31" i="27"/>
  <c r="AM31" i="27"/>
  <c r="AN31" i="27"/>
  <c r="AO31" i="27"/>
  <c r="AP31" i="27" s="1"/>
  <c r="AQ31" i="27"/>
  <c r="AR31" i="27"/>
  <c r="AS31" i="27"/>
  <c r="AT31" i="27"/>
  <c r="BE31" i="27"/>
  <c r="BH31" i="27"/>
  <c r="BV31" i="27" s="1"/>
  <c r="BL31" i="27"/>
  <c r="BP31" i="27"/>
  <c r="AA32" i="27"/>
  <c r="AB32" i="27"/>
  <c r="AC32" i="27"/>
  <c r="AH32" i="27"/>
  <c r="AI32" i="27"/>
  <c r="AJ32" i="27"/>
  <c r="AK32" i="27"/>
  <c r="AL32" i="27"/>
  <c r="AM32" i="27"/>
  <c r="AN32" i="27"/>
  <c r="AO32" i="27"/>
  <c r="AQ32" i="27"/>
  <c r="AR32" i="27"/>
  <c r="AS32" i="27"/>
  <c r="AT32" i="27"/>
  <c r="BF32" i="27"/>
  <c r="BH32" i="27"/>
  <c r="BV32" i="27" s="1"/>
  <c r="BM32" i="27"/>
  <c r="AA33" i="27"/>
  <c r="AB33" i="27"/>
  <c r="AC33" i="27"/>
  <c r="AH33" i="27"/>
  <c r="AI33" i="27"/>
  <c r="AJ33" i="27"/>
  <c r="AK33" i="27"/>
  <c r="AL33" i="27"/>
  <c r="AM33" i="27"/>
  <c r="AN33" i="27"/>
  <c r="AO33" i="27"/>
  <c r="AP33" i="27" s="1"/>
  <c r="AQ33" i="27"/>
  <c r="AR33" i="27"/>
  <c r="AS33" i="27"/>
  <c r="AT33" i="27"/>
  <c r="BE33" i="27"/>
  <c r="BH33" i="27"/>
  <c r="BL33" i="27"/>
  <c r="BP33" i="27"/>
  <c r="BV33" i="27"/>
  <c r="AA34" i="27"/>
  <c r="AB34" i="27"/>
  <c r="AC34" i="27"/>
  <c r="AH34" i="27"/>
  <c r="AI34" i="27"/>
  <c r="AJ34" i="27"/>
  <c r="AK34" i="27"/>
  <c r="AL34" i="27"/>
  <c r="AM34" i="27"/>
  <c r="AN34" i="27"/>
  <c r="AO34" i="27"/>
  <c r="AP34" i="27" s="1"/>
  <c r="AQ34" i="27"/>
  <c r="AR34" i="27"/>
  <c r="AS34" i="27"/>
  <c r="AT34" i="27"/>
  <c r="BF34" i="27"/>
  <c r="BH34" i="27"/>
  <c r="BM34" i="27"/>
  <c r="BV34" i="27"/>
  <c r="AA35" i="27"/>
  <c r="AB35" i="27"/>
  <c r="AC35" i="27"/>
  <c r="AH35" i="27"/>
  <c r="AI35" i="27"/>
  <c r="AJ35" i="27"/>
  <c r="AK35" i="27"/>
  <c r="AL35" i="27"/>
  <c r="AM35" i="27"/>
  <c r="AN35" i="27"/>
  <c r="AO35" i="27"/>
  <c r="AP35" i="27"/>
  <c r="AQ35" i="27"/>
  <c r="AR35" i="27"/>
  <c r="AS35" i="27"/>
  <c r="AT35" i="27"/>
  <c r="BE35" i="27"/>
  <c r="BH35" i="27"/>
  <c r="BV35" i="27" s="1"/>
  <c r="BL35" i="27"/>
  <c r="BP35" i="27"/>
  <c r="AA36" i="27"/>
  <c r="AB36" i="27"/>
  <c r="AC36" i="27"/>
  <c r="AH36" i="27"/>
  <c r="AI36" i="27"/>
  <c r="AJ36" i="27"/>
  <c r="AK36" i="27"/>
  <c r="AL36" i="27"/>
  <c r="AM36" i="27"/>
  <c r="AN36" i="27"/>
  <c r="AO36" i="27"/>
  <c r="AP36" i="27"/>
  <c r="AQ36" i="27"/>
  <c r="AR36" i="27"/>
  <c r="AS36" i="27"/>
  <c r="AT36" i="27"/>
  <c r="BF36" i="27"/>
  <c r="BH36" i="27"/>
  <c r="BV36" i="27" s="1"/>
  <c r="BM36" i="27"/>
  <c r="AA37" i="27"/>
  <c r="AE37" i="27" s="1"/>
  <c r="AB37" i="27"/>
  <c r="AC37" i="27"/>
  <c r="AH37" i="27"/>
  <c r="AI37" i="27"/>
  <c r="AJ37" i="27"/>
  <c r="AK37" i="27"/>
  <c r="AL37" i="27"/>
  <c r="AM37" i="27"/>
  <c r="AN37" i="27"/>
  <c r="AO37" i="27"/>
  <c r="AP37" i="27"/>
  <c r="AQ37" i="27"/>
  <c r="AR37" i="27"/>
  <c r="AS37" i="27"/>
  <c r="AT37" i="27"/>
  <c r="BE37" i="27"/>
  <c r="BH37" i="27"/>
  <c r="BV37" i="27" s="1"/>
  <c r="BL37" i="27"/>
  <c r="BP37" i="27"/>
  <c r="AA38" i="27"/>
  <c r="AB38" i="27"/>
  <c r="AC38" i="27"/>
  <c r="AH38" i="27"/>
  <c r="AI38" i="27"/>
  <c r="AJ38" i="27"/>
  <c r="AK38" i="27"/>
  <c r="AL38" i="27"/>
  <c r="AM38" i="27"/>
  <c r="AN38" i="27"/>
  <c r="AO38" i="27"/>
  <c r="BD38" i="27" s="1"/>
  <c r="AQ38" i="27"/>
  <c r="AR38" i="27"/>
  <c r="AS38" i="27"/>
  <c r="AT38" i="27"/>
  <c r="BF38" i="27"/>
  <c r="BH38" i="27"/>
  <c r="BV38" i="27" s="1"/>
  <c r="BM38" i="27"/>
  <c r="AA39" i="27"/>
  <c r="AB39" i="27"/>
  <c r="AC39" i="27"/>
  <c r="AH39" i="27"/>
  <c r="AI39" i="27"/>
  <c r="AJ39" i="27"/>
  <c r="AK39" i="27"/>
  <c r="AL39" i="27"/>
  <c r="AM39" i="27"/>
  <c r="AN39" i="27"/>
  <c r="AO39" i="27"/>
  <c r="AP39" i="27" s="1"/>
  <c r="AQ39" i="27"/>
  <c r="AR39" i="27"/>
  <c r="AS39" i="27"/>
  <c r="AT39" i="27"/>
  <c r="BE39" i="27"/>
  <c r="BH39" i="27"/>
  <c r="BV39" i="27" s="1"/>
  <c r="BL39" i="27"/>
  <c r="BP39" i="27"/>
  <c r="AA40" i="27"/>
  <c r="AB40" i="27"/>
  <c r="AC40" i="27"/>
  <c r="AH40" i="27"/>
  <c r="AI40" i="27"/>
  <c r="AJ40" i="27"/>
  <c r="AK40" i="27"/>
  <c r="AL40" i="27"/>
  <c r="AM40" i="27"/>
  <c r="AN40" i="27"/>
  <c r="AO40" i="27"/>
  <c r="AP40" i="27" s="1"/>
  <c r="AQ40" i="27"/>
  <c r="AR40" i="27"/>
  <c r="AS40" i="27"/>
  <c r="AT40" i="27"/>
  <c r="BF40" i="27"/>
  <c r="BH40" i="27"/>
  <c r="BV40" i="27" s="1"/>
  <c r="BM40" i="27"/>
  <c r="AA41" i="27"/>
  <c r="AB41" i="27"/>
  <c r="AC41" i="27"/>
  <c r="AH41" i="27"/>
  <c r="AI41" i="27"/>
  <c r="AJ41" i="27"/>
  <c r="AK41" i="27"/>
  <c r="AL41" i="27"/>
  <c r="AM41" i="27"/>
  <c r="AN41" i="27"/>
  <c r="AO41" i="27"/>
  <c r="AP41" i="27"/>
  <c r="AQ41" i="27"/>
  <c r="AR41" i="27"/>
  <c r="AS41" i="27"/>
  <c r="AT41" i="27"/>
  <c r="BE41" i="27"/>
  <c r="BH41" i="27"/>
  <c r="BV41" i="27" s="1"/>
  <c r="BL41" i="27"/>
  <c r="BP41" i="27"/>
  <c r="AA42" i="27"/>
  <c r="AB42" i="27"/>
  <c r="AC42" i="27"/>
  <c r="AH42" i="27"/>
  <c r="AI42" i="27"/>
  <c r="AJ42" i="27"/>
  <c r="AK42" i="27"/>
  <c r="AL42" i="27"/>
  <c r="AM42" i="27"/>
  <c r="AN42" i="27"/>
  <c r="AO42" i="27"/>
  <c r="AP42" i="27"/>
  <c r="AQ42" i="27"/>
  <c r="AR42" i="27"/>
  <c r="AS42" i="27"/>
  <c r="AT42" i="27"/>
  <c r="BF42" i="27"/>
  <c r="BH42" i="27"/>
  <c r="BV42" i="27" s="1"/>
  <c r="BM42" i="27"/>
  <c r="AA43" i="27"/>
  <c r="AB43" i="27"/>
  <c r="AC43" i="27"/>
  <c r="AH43" i="27"/>
  <c r="AI43" i="27"/>
  <c r="AJ43" i="27"/>
  <c r="AK43" i="27"/>
  <c r="AL43" i="27"/>
  <c r="AM43" i="27"/>
  <c r="AN43" i="27"/>
  <c r="AO43" i="27"/>
  <c r="AP43" i="27" s="1"/>
  <c r="AQ43" i="27"/>
  <c r="AR43" i="27"/>
  <c r="AS43" i="27"/>
  <c r="AT43" i="27"/>
  <c r="BE43" i="27"/>
  <c r="BH43" i="27"/>
  <c r="BL43" i="27"/>
  <c r="BP43" i="27"/>
  <c r="AA44" i="27"/>
  <c r="AB44" i="27"/>
  <c r="AC44" i="27"/>
  <c r="AH44" i="27"/>
  <c r="AI44" i="27"/>
  <c r="AJ44" i="27"/>
  <c r="AK44" i="27"/>
  <c r="AL44" i="27"/>
  <c r="AM44" i="27"/>
  <c r="AN44" i="27"/>
  <c r="AO44" i="27"/>
  <c r="AP44" i="27" s="1"/>
  <c r="AQ44" i="27"/>
  <c r="AR44" i="27"/>
  <c r="AS44" i="27"/>
  <c r="AT44" i="27"/>
  <c r="BF44" i="27"/>
  <c r="BH44" i="27"/>
  <c r="BM44" i="27"/>
  <c r="BV44" i="27"/>
  <c r="AA45" i="27"/>
  <c r="AB45" i="27"/>
  <c r="AC45" i="27"/>
  <c r="AH45" i="27"/>
  <c r="AI45" i="27"/>
  <c r="AJ45" i="27"/>
  <c r="AK45" i="27"/>
  <c r="AL45" i="27"/>
  <c r="AM45" i="27"/>
  <c r="AN45" i="27"/>
  <c r="AO45" i="27"/>
  <c r="AP45" i="27" s="1"/>
  <c r="AQ45" i="27"/>
  <c r="AR45" i="27"/>
  <c r="AS45" i="27"/>
  <c r="AT45" i="27"/>
  <c r="BE45" i="27"/>
  <c r="BH45" i="27"/>
  <c r="BV45" i="27" s="1"/>
  <c r="BL45" i="27"/>
  <c r="BP45" i="27"/>
  <c r="AA46" i="27"/>
  <c r="AB46" i="27"/>
  <c r="AC46" i="27"/>
  <c r="AE46" i="27"/>
  <c r="AH46" i="27"/>
  <c r="AI46" i="27"/>
  <c r="AJ46" i="27"/>
  <c r="AK46" i="27"/>
  <c r="AL46" i="27"/>
  <c r="AM46" i="27"/>
  <c r="AN46" i="27"/>
  <c r="AO46" i="27"/>
  <c r="AQ46" i="27"/>
  <c r="AR46" i="27"/>
  <c r="AS46" i="27"/>
  <c r="AT46" i="27"/>
  <c r="BF46" i="27"/>
  <c r="BH46" i="27"/>
  <c r="BV46" i="27" s="1"/>
  <c r="BM46" i="27"/>
  <c r="AA47" i="27"/>
  <c r="AB47" i="27"/>
  <c r="AC47" i="27"/>
  <c r="AH47" i="27"/>
  <c r="AI47" i="27"/>
  <c r="AJ47" i="27"/>
  <c r="AK47" i="27"/>
  <c r="AL47" i="27"/>
  <c r="AM47" i="27"/>
  <c r="AN47" i="27"/>
  <c r="AO47" i="27"/>
  <c r="AP47" i="27"/>
  <c r="AQ47" i="27"/>
  <c r="AR47" i="27"/>
  <c r="AS47" i="27"/>
  <c r="AT47" i="27"/>
  <c r="BD47" i="27"/>
  <c r="BE47" i="27"/>
  <c r="BH47" i="27"/>
  <c r="BV47" i="27" s="1"/>
  <c r="BL47" i="27"/>
  <c r="BP47" i="27"/>
  <c r="AA48" i="27"/>
  <c r="AB48" i="27"/>
  <c r="AC48" i="27"/>
  <c r="AH48" i="27"/>
  <c r="AI48" i="27"/>
  <c r="AJ48" i="27"/>
  <c r="AK48" i="27"/>
  <c r="AL48" i="27"/>
  <c r="AM48" i="27"/>
  <c r="AN48" i="27"/>
  <c r="AO48" i="27"/>
  <c r="AP48" i="27" s="1"/>
  <c r="AQ48" i="27"/>
  <c r="AR48" i="27"/>
  <c r="AS48" i="27"/>
  <c r="AT48" i="27"/>
  <c r="BF48" i="27"/>
  <c r="BH48" i="27"/>
  <c r="BM48" i="27"/>
  <c r="BV48" i="27"/>
  <c r="AA49" i="27"/>
  <c r="AB49" i="27"/>
  <c r="AC49" i="27"/>
  <c r="AH49" i="27"/>
  <c r="AI49" i="27"/>
  <c r="AJ49" i="27"/>
  <c r="AK49" i="27"/>
  <c r="AL49" i="27"/>
  <c r="AM49" i="27"/>
  <c r="AN49" i="27"/>
  <c r="AO49" i="27"/>
  <c r="AP49" i="27" s="1"/>
  <c r="AQ49" i="27"/>
  <c r="AR49" i="27"/>
  <c r="AS49" i="27"/>
  <c r="AT49" i="27"/>
  <c r="BE49" i="27"/>
  <c r="BH49" i="27"/>
  <c r="BV49" i="27" s="1"/>
  <c r="BL49" i="27"/>
  <c r="BP49" i="27"/>
  <c r="AA50" i="27"/>
  <c r="AB50" i="27"/>
  <c r="AC50" i="27"/>
  <c r="AE50" i="27"/>
  <c r="AH50" i="27"/>
  <c r="AI50" i="27"/>
  <c r="AJ50" i="27"/>
  <c r="AK50" i="27"/>
  <c r="AL50" i="27"/>
  <c r="AM50" i="27"/>
  <c r="AN50" i="27"/>
  <c r="AO50" i="27"/>
  <c r="AP50" i="27"/>
  <c r="AQ50" i="27"/>
  <c r="AR50" i="27"/>
  <c r="AS50" i="27"/>
  <c r="AT50" i="27"/>
  <c r="BF50" i="27"/>
  <c r="BH50" i="27"/>
  <c r="BV50" i="27" s="1"/>
  <c r="BM50" i="27"/>
  <c r="AA51" i="27"/>
  <c r="AB51" i="27"/>
  <c r="AC51" i="27"/>
  <c r="AH51" i="27"/>
  <c r="AI51" i="27"/>
  <c r="AJ51" i="27"/>
  <c r="AK51" i="27"/>
  <c r="AL51" i="27"/>
  <c r="AM51" i="27"/>
  <c r="AN51" i="27"/>
  <c r="AO51" i="27"/>
  <c r="AP51" i="27" s="1"/>
  <c r="AQ51" i="27"/>
  <c r="AR51" i="27"/>
  <c r="AS51" i="27"/>
  <c r="AT51" i="27"/>
  <c r="BE51" i="27"/>
  <c r="BH51" i="27"/>
  <c r="BV51" i="27" s="1"/>
  <c r="BL51" i="27"/>
  <c r="BP51" i="27"/>
  <c r="AA52" i="27"/>
  <c r="AB52" i="27"/>
  <c r="AC52" i="27"/>
  <c r="AH52" i="27"/>
  <c r="AI52" i="27"/>
  <c r="AJ52" i="27"/>
  <c r="AK52" i="27"/>
  <c r="AL52" i="27"/>
  <c r="AM52" i="27"/>
  <c r="AN52" i="27"/>
  <c r="AO52" i="27"/>
  <c r="AP52" i="27" s="1"/>
  <c r="AQ52" i="27"/>
  <c r="AR52" i="27"/>
  <c r="AS52" i="27"/>
  <c r="AT52" i="27"/>
  <c r="BF52" i="27"/>
  <c r="BH52" i="27"/>
  <c r="BV52" i="27" s="1"/>
  <c r="BM52" i="27"/>
  <c r="AA53" i="27"/>
  <c r="AB53" i="27"/>
  <c r="AC53" i="27"/>
  <c r="AH53" i="27"/>
  <c r="AI53" i="27"/>
  <c r="AJ53" i="27"/>
  <c r="AK53" i="27"/>
  <c r="AL53" i="27"/>
  <c r="AM53" i="27"/>
  <c r="AN53" i="27"/>
  <c r="AO53" i="27"/>
  <c r="AP53" i="27" s="1"/>
  <c r="AQ53" i="27"/>
  <c r="AR53" i="27"/>
  <c r="AS53" i="27"/>
  <c r="AT53" i="27"/>
  <c r="BE53" i="27"/>
  <c r="BH53" i="27"/>
  <c r="BV53" i="27" s="1"/>
  <c r="BL53" i="27"/>
  <c r="BP53" i="27"/>
  <c r="AA54" i="27"/>
  <c r="AB54" i="27"/>
  <c r="AC54" i="27"/>
  <c r="AH54" i="27"/>
  <c r="AI54" i="27"/>
  <c r="AJ54" i="27"/>
  <c r="AK54" i="27"/>
  <c r="AL54" i="27"/>
  <c r="AM54" i="27"/>
  <c r="AN54" i="27"/>
  <c r="AO54" i="27"/>
  <c r="AP54" i="27" s="1"/>
  <c r="AQ54" i="27"/>
  <c r="AR54" i="27"/>
  <c r="AS54" i="27"/>
  <c r="AT54" i="27"/>
  <c r="BF54" i="27"/>
  <c r="BH54" i="27"/>
  <c r="BV54" i="27" s="1"/>
  <c r="BM54" i="27"/>
  <c r="AA55" i="27"/>
  <c r="AB55" i="27"/>
  <c r="AC55" i="27"/>
  <c r="AH55" i="27"/>
  <c r="AI55" i="27"/>
  <c r="AJ55" i="27"/>
  <c r="AK55" i="27"/>
  <c r="AL55" i="27"/>
  <c r="AM55" i="27"/>
  <c r="AN55" i="27"/>
  <c r="AO55" i="27"/>
  <c r="AP55" i="27" s="1"/>
  <c r="AQ55" i="27"/>
  <c r="AR55" i="27"/>
  <c r="AS55" i="27"/>
  <c r="AT55" i="27"/>
  <c r="BE55" i="27"/>
  <c r="BH55" i="27"/>
  <c r="BV55" i="27" s="1"/>
  <c r="BL55" i="27"/>
  <c r="BP55" i="27"/>
  <c r="AA56" i="27"/>
  <c r="AB56" i="27"/>
  <c r="AC56" i="27"/>
  <c r="AH56" i="27"/>
  <c r="AI56" i="27"/>
  <c r="AJ56" i="27"/>
  <c r="AK56" i="27"/>
  <c r="AL56" i="27"/>
  <c r="AM56" i="27"/>
  <c r="AN56" i="27"/>
  <c r="AO56" i="27"/>
  <c r="AP56" i="27" s="1"/>
  <c r="AQ56" i="27"/>
  <c r="AR56" i="27"/>
  <c r="AS56" i="27"/>
  <c r="AT56" i="27"/>
  <c r="BF56" i="27"/>
  <c r="BH56" i="27"/>
  <c r="BV56" i="27" s="1"/>
  <c r="BM56" i="27"/>
  <c r="AA57" i="27"/>
  <c r="AB57" i="27"/>
  <c r="AC57" i="27"/>
  <c r="AH57" i="27"/>
  <c r="AI57" i="27"/>
  <c r="AJ57" i="27"/>
  <c r="AK57" i="27"/>
  <c r="AL57" i="27"/>
  <c r="AM57" i="27"/>
  <c r="AN57" i="27"/>
  <c r="AO57" i="27"/>
  <c r="AP57" i="27" s="1"/>
  <c r="AQ57" i="27"/>
  <c r="AR57" i="27"/>
  <c r="AS57" i="27"/>
  <c r="AT57" i="27"/>
  <c r="BE57" i="27"/>
  <c r="BH57" i="27"/>
  <c r="BV57" i="27" s="1"/>
  <c r="BL57" i="27"/>
  <c r="BP57" i="27"/>
  <c r="AA58" i="27"/>
  <c r="AB58" i="27"/>
  <c r="AC58" i="27"/>
  <c r="AH58" i="27"/>
  <c r="AI58" i="27"/>
  <c r="AJ58" i="27"/>
  <c r="AK58" i="27"/>
  <c r="AL58" i="27"/>
  <c r="AM58" i="27"/>
  <c r="AN58" i="27"/>
  <c r="AO58" i="27"/>
  <c r="AP58" i="27"/>
  <c r="AQ58" i="27"/>
  <c r="AR58" i="27"/>
  <c r="AS58" i="27"/>
  <c r="AT58" i="27"/>
  <c r="BF58" i="27"/>
  <c r="BH58" i="27"/>
  <c r="BV58" i="27" s="1"/>
  <c r="BM58" i="27"/>
  <c r="AA59" i="27"/>
  <c r="AB59" i="27"/>
  <c r="AC59" i="27"/>
  <c r="AH59" i="27"/>
  <c r="AI59" i="27"/>
  <c r="AJ59" i="27"/>
  <c r="AK59" i="27"/>
  <c r="AL59" i="27"/>
  <c r="AM59" i="27"/>
  <c r="AN59" i="27"/>
  <c r="AO59" i="27"/>
  <c r="AP59" i="27" s="1"/>
  <c r="AQ59" i="27"/>
  <c r="AR59" i="27"/>
  <c r="AS59" i="27"/>
  <c r="AT59" i="27"/>
  <c r="BE59" i="27"/>
  <c r="BH59" i="27"/>
  <c r="BV59" i="27" s="1"/>
  <c r="BL59" i="27"/>
  <c r="BP59" i="27"/>
  <c r="AA60" i="27"/>
  <c r="AB60" i="27"/>
  <c r="AC60" i="27"/>
  <c r="AH60" i="27"/>
  <c r="AI60" i="27"/>
  <c r="AJ60" i="27"/>
  <c r="AK60" i="27"/>
  <c r="AL60" i="27"/>
  <c r="AM60" i="27"/>
  <c r="AN60" i="27"/>
  <c r="AO60" i="27"/>
  <c r="AP60" i="27" s="1"/>
  <c r="AQ60" i="27"/>
  <c r="AR60" i="27"/>
  <c r="AS60" i="27"/>
  <c r="AT60" i="27"/>
  <c r="BF60" i="27"/>
  <c r="BH60" i="27"/>
  <c r="BV60" i="27" s="1"/>
  <c r="BM60" i="27"/>
  <c r="AA61" i="27"/>
  <c r="AB61" i="27"/>
  <c r="AC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BE61" i="27"/>
  <c r="BH61" i="27"/>
  <c r="BV61" i="27" s="1"/>
  <c r="BL61" i="27"/>
  <c r="BP61" i="27"/>
  <c r="AA62" i="27"/>
  <c r="AB62" i="27"/>
  <c r="AC62" i="27"/>
  <c r="AH62" i="27"/>
  <c r="AI62" i="27"/>
  <c r="AJ62" i="27"/>
  <c r="AK62" i="27"/>
  <c r="AL62" i="27"/>
  <c r="AM62" i="27"/>
  <c r="AN62" i="27"/>
  <c r="AO62" i="27"/>
  <c r="AP62" i="27" s="1"/>
  <c r="AQ62" i="27"/>
  <c r="AR62" i="27"/>
  <c r="AS62" i="27"/>
  <c r="AT62" i="27"/>
  <c r="BF62" i="27"/>
  <c r="BH62" i="27"/>
  <c r="BV62" i="27" s="1"/>
  <c r="BM62" i="27"/>
  <c r="AA63" i="27"/>
  <c r="AB63" i="27"/>
  <c r="AC63" i="27"/>
  <c r="AH63" i="27"/>
  <c r="AI63" i="27"/>
  <c r="AJ63" i="27"/>
  <c r="AK63" i="27"/>
  <c r="AL63" i="27"/>
  <c r="AM63" i="27"/>
  <c r="AN63" i="27"/>
  <c r="AO63" i="27"/>
  <c r="AP63" i="27" s="1"/>
  <c r="AQ63" i="27"/>
  <c r="AR63" i="27"/>
  <c r="AS63" i="27"/>
  <c r="AT63" i="27"/>
  <c r="BE63" i="27"/>
  <c r="BH63" i="27"/>
  <c r="BL63" i="27"/>
  <c r="BP63" i="27"/>
  <c r="BV63" i="27"/>
  <c r="AA64" i="27"/>
  <c r="AB64" i="27"/>
  <c r="AC64" i="27"/>
  <c r="AH64" i="27"/>
  <c r="AI64" i="27"/>
  <c r="AJ64" i="27"/>
  <c r="AK64" i="27"/>
  <c r="AL64" i="27"/>
  <c r="AM64" i="27"/>
  <c r="AN64" i="27"/>
  <c r="AO64" i="27"/>
  <c r="AP64" i="27" s="1"/>
  <c r="AQ64" i="27"/>
  <c r="AR64" i="27"/>
  <c r="AS64" i="27"/>
  <c r="AT64" i="27"/>
  <c r="BF64" i="27"/>
  <c r="BH64" i="27"/>
  <c r="BV64" i="27" s="1"/>
  <c r="BM64" i="27"/>
  <c r="AA65" i="27"/>
  <c r="AB65" i="27"/>
  <c r="AC65" i="27"/>
  <c r="AH65" i="27"/>
  <c r="AI65" i="27"/>
  <c r="AW65" i="27" s="1"/>
  <c r="AJ65" i="27"/>
  <c r="AK65" i="27"/>
  <c r="AL65" i="27"/>
  <c r="AM65" i="27"/>
  <c r="AN65" i="27"/>
  <c r="AO65" i="27"/>
  <c r="AP65" i="27" s="1"/>
  <c r="AQ65" i="27"/>
  <c r="AR65" i="27"/>
  <c r="AS65" i="27"/>
  <c r="AT65" i="27"/>
  <c r="BE65" i="27"/>
  <c r="BH65" i="27"/>
  <c r="BV65" i="27" s="1"/>
  <c r="BL65" i="27"/>
  <c r="BP65" i="27"/>
  <c r="AA66" i="27"/>
  <c r="AB66" i="27"/>
  <c r="AC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BF66" i="27"/>
  <c r="BH66" i="27"/>
  <c r="BV66" i="27" s="1"/>
  <c r="BM66" i="27"/>
  <c r="AA67" i="27"/>
  <c r="AB67" i="27"/>
  <c r="AC67" i="27"/>
  <c r="AE67" i="27" s="1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BE67" i="27"/>
  <c r="BH67" i="27"/>
  <c r="BV67" i="27" s="1"/>
  <c r="BL67" i="27"/>
  <c r="BP67" i="27"/>
  <c r="AA68" i="27"/>
  <c r="AB68" i="27"/>
  <c r="AC68" i="27"/>
  <c r="AH68" i="27"/>
  <c r="AI68" i="27"/>
  <c r="AJ68" i="27"/>
  <c r="AK68" i="27"/>
  <c r="AL68" i="27"/>
  <c r="AM68" i="27"/>
  <c r="AN68" i="27"/>
  <c r="AO68" i="27"/>
  <c r="AP68" i="27" s="1"/>
  <c r="AQ68" i="27"/>
  <c r="AR68" i="27"/>
  <c r="AS68" i="27"/>
  <c r="AT68" i="27"/>
  <c r="BF68" i="27"/>
  <c r="BH68" i="27"/>
  <c r="BV68" i="27" s="1"/>
  <c r="BM68" i="27"/>
  <c r="AA69" i="27"/>
  <c r="AB69" i="27"/>
  <c r="AC69" i="27"/>
  <c r="AH69" i="27"/>
  <c r="AI69" i="27"/>
  <c r="AJ69" i="27"/>
  <c r="AK69" i="27"/>
  <c r="AL69" i="27"/>
  <c r="AM69" i="27"/>
  <c r="AN69" i="27"/>
  <c r="AO69" i="27"/>
  <c r="AP69" i="27" s="1"/>
  <c r="AQ69" i="27"/>
  <c r="AR69" i="27"/>
  <c r="AS69" i="27"/>
  <c r="AT69" i="27"/>
  <c r="BE69" i="27"/>
  <c r="BH69" i="27"/>
  <c r="BV69" i="27" s="1"/>
  <c r="BL69" i="27"/>
  <c r="BP69" i="27"/>
  <c r="AA70" i="27"/>
  <c r="AB70" i="27"/>
  <c r="AC70" i="27"/>
  <c r="AH70" i="27"/>
  <c r="AI70" i="27"/>
  <c r="AJ70" i="27"/>
  <c r="AK70" i="27"/>
  <c r="AL70" i="27"/>
  <c r="AM70" i="27"/>
  <c r="AN70" i="27"/>
  <c r="AO70" i="27"/>
  <c r="AQ70" i="27"/>
  <c r="AR70" i="27"/>
  <c r="AS70" i="27"/>
  <c r="AT70" i="27"/>
  <c r="BF70" i="27"/>
  <c r="BH70" i="27"/>
  <c r="BV70" i="27" s="1"/>
  <c r="BM70" i="27"/>
  <c r="AA71" i="27"/>
  <c r="AB71" i="27"/>
  <c r="AC71" i="27"/>
  <c r="AH71" i="27"/>
  <c r="AI71" i="27"/>
  <c r="AJ71" i="27"/>
  <c r="AK71" i="27"/>
  <c r="AL71" i="27"/>
  <c r="AM71" i="27"/>
  <c r="AN71" i="27"/>
  <c r="AO71" i="27"/>
  <c r="AP71" i="27"/>
  <c r="AQ71" i="27"/>
  <c r="AR71" i="27"/>
  <c r="AS71" i="27"/>
  <c r="AT71" i="27"/>
  <c r="BE71" i="27"/>
  <c r="BH71" i="27"/>
  <c r="BV71" i="27" s="1"/>
  <c r="BL71" i="27"/>
  <c r="BP71" i="27"/>
  <c r="AA72" i="27"/>
  <c r="AB72" i="27"/>
  <c r="AC72" i="27"/>
  <c r="AH72" i="27"/>
  <c r="AI72" i="27"/>
  <c r="AJ72" i="27"/>
  <c r="AK72" i="27"/>
  <c r="AL72" i="27"/>
  <c r="AM72" i="27"/>
  <c r="AN72" i="27"/>
  <c r="AO72" i="27"/>
  <c r="AP72" i="27"/>
  <c r="AQ72" i="27"/>
  <c r="AR72" i="27"/>
  <c r="AS72" i="27"/>
  <c r="AT72" i="27"/>
  <c r="BF72" i="27"/>
  <c r="BH72" i="27"/>
  <c r="BV72" i="27" s="1"/>
  <c r="BM72" i="27"/>
  <c r="AA73" i="27"/>
  <c r="AB73" i="27"/>
  <c r="AC73" i="27"/>
  <c r="AH73" i="27"/>
  <c r="AI73" i="27"/>
  <c r="AJ73" i="27"/>
  <c r="AK73" i="27"/>
  <c r="AL73" i="27"/>
  <c r="AM73" i="27"/>
  <c r="AN73" i="27"/>
  <c r="AO73" i="27"/>
  <c r="AP73" i="27" s="1"/>
  <c r="AQ73" i="27"/>
  <c r="AR73" i="27"/>
  <c r="AS73" i="27"/>
  <c r="AT73" i="27"/>
  <c r="BE73" i="27"/>
  <c r="BH73" i="27"/>
  <c r="BV73" i="27" s="1"/>
  <c r="BL73" i="27"/>
  <c r="BP73" i="27"/>
  <c r="AA74" i="27"/>
  <c r="AB74" i="27"/>
  <c r="AC74" i="27"/>
  <c r="AH74" i="27"/>
  <c r="AI74" i="27"/>
  <c r="AJ74" i="27"/>
  <c r="AK74" i="27"/>
  <c r="AL74" i="27"/>
  <c r="AM74" i="27"/>
  <c r="AN74" i="27"/>
  <c r="AO74" i="27"/>
  <c r="AP74" i="27"/>
  <c r="AQ74" i="27"/>
  <c r="AR74" i="27"/>
  <c r="AS74" i="27"/>
  <c r="AT74" i="27"/>
  <c r="BF74" i="27"/>
  <c r="BH74" i="27"/>
  <c r="BM74" i="27"/>
  <c r="BV74" i="27"/>
  <c r="AA75" i="27"/>
  <c r="AB75" i="27"/>
  <c r="AC75" i="27"/>
  <c r="AD75" i="27"/>
  <c r="AE75" i="27"/>
  <c r="AH75" i="27"/>
  <c r="AI75" i="27"/>
  <c r="AJ75" i="27"/>
  <c r="AK75" i="27"/>
  <c r="AL75" i="27"/>
  <c r="AM75" i="27"/>
  <c r="AN75" i="27"/>
  <c r="AO75" i="27"/>
  <c r="AP75" i="27" s="1"/>
  <c r="AQ75" i="27"/>
  <c r="AR75" i="27"/>
  <c r="AS75" i="27"/>
  <c r="AT75" i="27"/>
  <c r="BE75" i="27"/>
  <c r="BH75" i="27"/>
  <c r="BV75" i="27" s="1"/>
  <c r="BL75" i="27"/>
  <c r="BP75" i="27"/>
  <c r="AA76" i="27"/>
  <c r="AB76" i="27"/>
  <c r="AC76" i="27"/>
  <c r="AH76" i="27"/>
  <c r="AI76" i="27"/>
  <c r="AW76" i="27" s="1"/>
  <c r="AJ76" i="27"/>
  <c r="AK76" i="27"/>
  <c r="AL76" i="27"/>
  <c r="AM76" i="27"/>
  <c r="AN76" i="27"/>
  <c r="AO76" i="27"/>
  <c r="AP76" i="27" s="1"/>
  <c r="AQ76" i="27"/>
  <c r="AR76" i="27"/>
  <c r="AS76" i="27"/>
  <c r="AT76" i="27"/>
  <c r="BF76" i="27"/>
  <c r="BH76" i="27"/>
  <c r="BV76" i="27" s="1"/>
  <c r="BM76" i="27"/>
  <c r="AA77" i="27"/>
  <c r="AB77" i="27"/>
  <c r="AC77" i="27"/>
  <c r="AH77" i="27"/>
  <c r="AI77" i="27"/>
  <c r="AJ77" i="27"/>
  <c r="AK77" i="27"/>
  <c r="AL77" i="27"/>
  <c r="AM77" i="27"/>
  <c r="BD77" i="27" s="1"/>
  <c r="AN77" i="27"/>
  <c r="AO77" i="27"/>
  <c r="AP77" i="27" s="1"/>
  <c r="AQ77" i="27"/>
  <c r="AR77" i="27"/>
  <c r="AS77" i="27"/>
  <c r="AT77" i="27"/>
  <c r="BE77" i="27"/>
  <c r="BH77" i="27"/>
  <c r="BV77" i="27" s="1"/>
  <c r="BL77" i="27"/>
  <c r="BP77" i="27"/>
  <c r="AA78" i="27"/>
  <c r="AB78" i="27"/>
  <c r="AC78" i="27"/>
  <c r="AH78" i="27"/>
  <c r="AW78" i="27" s="1"/>
  <c r="AI78" i="27"/>
  <c r="AJ78" i="27"/>
  <c r="AK78" i="27"/>
  <c r="AL78" i="27"/>
  <c r="AM78" i="27"/>
  <c r="AN78" i="27"/>
  <c r="AO78" i="27"/>
  <c r="AP78" i="27"/>
  <c r="AQ78" i="27"/>
  <c r="AR78" i="27"/>
  <c r="AS78" i="27"/>
  <c r="AT78" i="27"/>
  <c r="BF78" i="27"/>
  <c r="BH78" i="27"/>
  <c r="BV78" i="27" s="1"/>
  <c r="BM78" i="27"/>
  <c r="AA79" i="27"/>
  <c r="AB79" i="27"/>
  <c r="AC79" i="27"/>
  <c r="AH79" i="27"/>
  <c r="AW79" i="27" s="1"/>
  <c r="AI79" i="27"/>
  <c r="AJ79" i="27"/>
  <c r="AK79" i="27"/>
  <c r="AL79" i="27"/>
  <c r="AM79" i="27"/>
  <c r="AN79" i="27"/>
  <c r="AO79" i="27"/>
  <c r="AP79" i="27"/>
  <c r="AQ79" i="27"/>
  <c r="AR79" i="27"/>
  <c r="AS79" i="27"/>
  <c r="AT79" i="27"/>
  <c r="BE79" i="27"/>
  <c r="BH79" i="27"/>
  <c r="BL79" i="27"/>
  <c r="BP79" i="27"/>
  <c r="BV79" i="27"/>
  <c r="AA80" i="27"/>
  <c r="AB80" i="27"/>
  <c r="AC80" i="27"/>
  <c r="AH80" i="27"/>
  <c r="AI80" i="27"/>
  <c r="AJ80" i="27"/>
  <c r="AK80" i="27"/>
  <c r="AL80" i="27"/>
  <c r="AM80" i="27"/>
  <c r="AN80" i="27"/>
  <c r="AO80" i="27"/>
  <c r="AP80" i="27" s="1"/>
  <c r="AQ80" i="27"/>
  <c r="AR80" i="27"/>
  <c r="AS80" i="27"/>
  <c r="AT80" i="27"/>
  <c r="BF80" i="27"/>
  <c r="BH80" i="27"/>
  <c r="BV80" i="27" s="1"/>
  <c r="BM80" i="27"/>
  <c r="AA81" i="27"/>
  <c r="AB81" i="27"/>
  <c r="AC81" i="27"/>
  <c r="AE81" i="27" s="1"/>
  <c r="AH81" i="27"/>
  <c r="AI81" i="27"/>
  <c r="AJ81" i="27"/>
  <c r="AK81" i="27"/>
  <c r="AL81" i="27"/>
  <c r="AM81" i="27"/>
  <c r="AN81" i="27"/>
  <c r="AO81" i="27"/>
  <c r="AP81" i="27" s="1"/>
  <c r="AQ81" i="27"/>
  <c r="AR81" i="27"/>
  <c r="AS81" i="27"/>
  <c r="AT81" i="27"/>
  <c r="BE81" i="27"/>
  <c r="BH81" i="27"/>
  <c r="BV81" i="27" s="1"/>
  <c r="BL81" i="27"/>
  <c r="BP81" i="27"/>
  <c r="AA82" i="27"/>
  <c r="AB82" i="27"/>
  <c r="AC82" i="27"/>
  <c r="AH82" i="27"/>
  <c r="AI82" i="27"/>
  <c r="AJ82" i="27"/>
  <c r="AK82" i="27"/>
  <c r="AL82" i="27"/>
  <c r="AM82" i="27"/>
  <c r="AN82" i="27"/>
  <c r="AO82" i="27"/>
  <c r="AP82" i="27" s="1"/>
  <c r="AQ82" i="27"/>
  <c r="AR82" i="27"/>
  <c r="AS82" i="27"/>
  <c r="AT82" i="27"/>
  <c r="BF82" i="27"/>
  <c r="BH82" i="27"/>
  <c r="BV82" i="27" s="1"/>
  <c r="BM82" i="27"/>
  <c r="AA83" i="27"/>
  <c r="AB83" i="27"/>
  <c r="AC83" i="27"/>
  <c r="AH83" i="27"/>
  <c r="AI83" i="27"/>
  <c r="AJ83" i="27"/>
  <c r="BD83" i="27" s="1"/>
  <c r="AK83" i="27"/>
  <c r="AL83" i="27"/>
  <c r="AM83" i="27"/>
  <c r="AN83" i="27"/>
  <c r="AO83" i="27"/>
  <c r="AP83" i="27"/>
  <c r="AQ83" i="27"/>
  <c r="AR83" i="27"/>
  <c r="AS83" i="27"/>
  <c r="AT83" i="27"/>
  <c r="BE83" i="27"/>
  <c r="BH83" i="27"/>
  <c r="BV83" i="27" s="1"/>
  <c r="BL83" i="27"/>
  <c r="BP83" i="27"/>
  <c r="AA84" i="27"/>
  <c r="AB84" i="27"/>
  <c r="AC84" i="27"/>
  <c r="AE84" i="27"/>
  <c r="AH84" i="27"/>
  <c r="AI84" i="27"/>
  <c r="AJ84" i="27"/>
  <c r="AK84" i="27"/>
  <c r="AL84" i="27"/>
  <c r="AM84" i="27"/>
  <c r="AN84" i="27"/>
  <c r="AO84" i="27"/>
  <c r="AP84" i="27"/>
  <c r="AQ84" i="27"/>
  <c r="AR84" i="27"/>
  <c r="AS84" i="27"/>
  <c r="AT84" i="27"/>
  <c r="BF84" i="27"/>
  <c r="BH84" i="27"/>
  <c r="BV84" i="27" s="1"/>
  <c r="BM84" i="27"/>
  <c r="AA85" i="27"/>
  <c r="AB85" i="27"/>
  <c r="AC85" i="27"/>
  <c r="AH85" i="27"/>
  <c r="AI85" i="27"/>
  <c r="AJ85" i="27"/>
  <c r="AK85" i="27"/>
  <c r="AL85" i="27"/>
  <c r="AM85" i="27"/>
  <c r="AN85" i="27"/>
  <c r="AO85" i="27"/>
  <c r="AP85" i="27" s="1"/>
  <c r="AQ85" i="27"/>
  <c r="AR85" i="27"/>
  <c r="AS85" i="27"/>
  <c r="AT85" i="27"/>
  <c r="BE85" i="27"/>
  <c r="BH85" i="27"/>
  <c r="BL85" i="27"/>
  <c r="BP85" i="27"/>
  <c r="BV85" i="27"/>
  <c r="AA86" i="27"/>
  <c r="AB86" i="27"/>
  <c r="AC86" i="27"/>
  <c r="AH86" i="27"/>
  <c r="AI86" i="27"/>
  <c r="AJ86" i="27"/>
  <c r="AK86" i="27"/>
  <c r="AL86" i="27"/>
  <c r="AM86" i="27"/>
  <c r="AN86" i="27"/>
  <c r="AO86" i="27"/>
  <c r="AP86" i="27" s="1"/>
  <c r="AQ86" i="27"/>
  <c r="AR86" i="27"/>
  <c r="AS86" i="27"/>
  <c r="AT86" i="27"/>
  <c r="BD86" i="27"/>
  <c r="BF86" i="27"/>
  <c r="BH86" i="27"/>
  <c r="BV86" i="27" s="1"/>
  <c r="BM86" i="27"/>
  <c r="AA87" i="27"/>
  <c r="AB87" i="27"/>
  <c r="AC87" i="27"/>
  <c r="AE87" i="27"/>
  <c r="AH87" i="27"/>
  <c r="AI87" i="27"/>
  <c r="AJ87" i="27"/>
  <c r="AK87" i="27"/>
  <c r="AL87" i="27"/>
  <c r="AM87" i="27"/>
  <c r="AN87" i="27"/>
  <c r="AO87" i="27"/>
  <c r="AP87" i="27"/>
  <c r="AQ87" i="27"/>
  <c r="AR87" i="27"/>
  <c r="AS87" i="27"/>
  <c r="AT87" i="27"/>
  <c r="BE87" i="27"/>
  <c r="BH87" i="27"/>
  <c r="BL87" i="27"/>
  <c r="BP87" i="27"/>
  <c r="BV87" i="27"/>
  <c r="AA88" i="27"/>
  <c r="AB88" i="27"/>
  <c r="AC88" i="27"/>
  <c r="AH88" i="27"/>
  <c r="AI88" i="27"/>
  <c r="AJ88" i="27"/>
  <c r="AK88" i="27"/>
  <c r="AL88" i="27"/>
  <c r="AM88" i="27"/>
  <c r="AN88" i="27"/>
  <c r="AO88" i="27"/>
  <c r="AP88" i="27"/>
  <c r="AQ88" i="27"/>
  <c r="AR88" i="27"/>
  <c r="AS88" i="27"/>
  <c r="AT88" i="27"/>
  <c r="BF88" i="27"/>
  <c r="BH88" i="27"/>
  <c r="BM88" i="27"/>
  <c r="BV88" i="27"/>
  <c r="AA89" i="27"/>
  <c r="AB89" i="27"/>
  <c r="AC89" i="27"/>
  <c r="AD89" i="27"/>
  <c r="AH89" i="27"/>
  <c r="AI89" i="27"/>
  <c r="AJ89" i="27"/>
  <c r="AK89" i="27"/>
  <c r="AL89" i="27"/>
  <c r="AM89" i="27"/>
  <c r="BD89" i="27" s="1"/>
  <c r="AN89" i="27"/>
  <c r="AO89" i="27"/>
  <c r="AP89" i="27" s="1"/>
  <c r="AQ89" i="27"/>
  <c r="AR89" i="27"/>
  <c r="AS89" i="27"/>
  <c r="AT89" i="27"/>
  <c r="BE89" i="27"/>
  <c r="BH89" i="27"/>
  <c r="BL89" i="27"/>
  <c r="BP89" i="27"/>
  <c r="BV89" i="27"/>
  <c r="AA90" i="27"/>
  <c r="AB90" i="27"/>
  <c r="AC90" i="27"/>
  <c r="AE90" i="27"/>
  <c r="AH90" i="27"/>
  <c r="AI90" i="27"/>
  <c r="AJ90" i="27"/>
  <c r="AK90" i="27"/>
  <c r="AL90" i="27"/>
  <c r="AM90" i="27"/>
  <c r="AN90" i="27"/>
  <c r="AO90" i="27"/>
  <c r="AP90" i="27" s="1"/>
  <c r="AQ90" i="27"/>
  <c r="AR90" i="27"/>
  <c r="AS90" i="27"/>
  <c r="AT90" i="27"/>
  <c r="BF90" i="27"/>
  <c r="BH90" i="27"/>
  <c r="BV90" i="27" s="1"/>
  <c r="BM90" i="27"/>
  <c r="AA91" i="27"/>
  <c r="AB91" i="27"/>
  <c r="AC91" i="27"/>
  <c r="AH91" i="27"/>
  <c r="AI91" i="27"/>
  <c r="AJ91" i="27"/>
  <c r="AK91" i="27"/>
  <c r="AL91" i="27"/>
  <c r="AM91" i="27"/>
  <c r="AN91" i="27"/>
  <c r="AO91" i="27"/>
  <c r="AP91" i="27"/>
  <c r="AQ91" i="27"/>
  <c r="AR91" i="27"/>
  <c r="AS91" i="27"/>
  <c r="AT91" i="27"/>
  <c r="BE91" i="27"/>
  <c r="BH91" i="27"/>
  <c r="BV91" i="27" s="1"/>
  <c r="BL91" i="27"/>
  <c r="BP91" i="27"/>
  <c r="AA92" i="27"/>
  <c r="AB92" i="27"/>
  <c r="AC92" i="27"/>
  <c r="AH92" i="27"/>
  <c r="AI92" i="27"/>
  <c r="AJ92" i="27"/>
  <c r="AK92" i="27"/>
  <c r="AL92" i="27"/>
  <c r="AM92" i="27"/>
  <c r="AN92" i="27"/>
  <c r="AO92" i="27"/>
  <c r="AP92" i="27"/>
  <c r="AQ92" i="27"/>
  <c r="AR92" i="27"/>
  <c r="AS92" i="27"/>
  <c r="AT92" i="27"/>
  <c r="BF92" i="27"/>
  <c r="BH92" i="27"/>
  <c r="BV92" i="27" s="1"/>
  <c r="BM92" i="27"/>
  <c r="AA93" i="27"/>
  <c r="AB93" i="27"/>
  <c r="AC93" i="27"/>
  <c r="AH93" i="27"/>
  <c r="AI93" i="27"/>
  <c r="AJ93" i="27"/>
  <c r="AK93" i="27"/>
  <c r="AL93" i="27"/>
  <c r="AM93" i="27"/>
  <c r="AN93" i="27"/>
  <c r="AO93" i="27"/>
  <c r="AP93" i="27" s="1"/>
  <c r="AQ93" i="27"/>
  <c r="AR93" i="27"/>
  <c r="AS93" i="27"/>
  <c r="AT93" i="27"/>
  <c r="BE93" i="27"/>
  <c r="BH93" i="27"/>
  <c r="BL93" i="27"/>
  <c r="BP93" i="27"/>
  <c r="BV93" i="27"/>
  <c r="AA94" i="27"/>
  <c r="AB94" i="27"/>
  <c r="AC94" i="27"/>
  <c r="AH94" i="27"/>
  <c r="AI94" i="27"/>
  <c r="AJ94" i="27"/>
  <c r="AK94" i="27"/>
  <c r="AL94" i="27"/>
  <c r="AM94" i="27"/>
  <c r="AN94" i="27"/>
  <c r="AO94" i="27"/>
  <c r="AP94" i="27" s="1"/>
  <c r="AQ94" i="27"/>
  <c r="AR94" i="27"/>
  <c r="AS94" i="27"/>
  <c r="AT94" i="27"/>
  <c r="BF94" i="27"/>
  <c r="BH94" i="27"/>
  <c r="BV94" i="27" s="1"/>
  <c r="BM94" i="27"/>
  <c r="AA95" i="27"/>
  <c r="AB95" i="27"/>
  <c r="AC95" i="27"/>
  <c r="AE95" i="27"/>
  <c r="AH95" i="27"/>
  <c r="AI95" i="27"/>
  <c r="AJ95" i="27"/>
  <c r="AK95" i="27"/>
  <c r="AL95" i="27"/>
  <c r="AM95" i="27"/>
  <c r="AN95" i="27"/>
  <c r="AO95" i="27"/>
  <c r="AP95" i="27" s="1"/>
  <c r="AQ95" i="27"/>
  <c r="AR95" i="27"/>
  <c r="AS95" i="27"/>
  <c r="AT95" i="27"/>
  <c r="BE95" i="27"/>
  <c r="BH95" i="27"/>
  <c r="BL95" i="27"/>
  <c r="BP95" i="27"/>
  <c r="BV95" i="27"/>
  <c r="AA96" i="27"/>
  <c r="AB96" i="27"/>
  <c r="AC96" i="27"/>
  <c r="AH96" i="27"/>
  <c r="AI96" i="27"/>
  <c r="AJ96" i="27"/>
  <c r="AK96" i="27"/>
  <c r="AL96" i="27"/>
  <c r="AM96" i="27"/>
  <c r="AN96" i="27"/>
  <c r="AO96" i="27"/>
  <c r="AP96" i="27" s="1"/>
  <c r="AQ96" i="27"/>
  <c r="AR96" i="27"/>
  <c r="AS96" i="27"/>
  <c r="AT96" i="27"/>
  <c r="BF96" i="27"/>
  <c r="BH96" i="27"/>
  <c r="BV96" i="27" s="1"/>
  <c r="BM96" i="27"/>
  <c r="AA97" i="27"/>
  <c r="AB97" i="27"/>
  <c r="AC97" i="27"/>
  <c r="AH97" i="27"/>
  <c r="AI97" i="27"/>
  <c r="AJ97" i="27"/>
  <c r="AK97" i="27"/>
  <c r="AL97" i="27"/>
  <c r="AM97" i="27"/>
  <c r="AN97" i="27"/>
  <c r="AO97" i="27"/>
  <c r="AP97" i="27"/>
  <c r="AQ97" i="27"/>
  <c r="AR97" i="27"/>
  <c r="AS97" i="27"/>
  <c r="AT97" i="27"/>
  <c r="BE97" i="27"/>
  <c r="BH97" i="27"/>
  <c r="BL97" i="27"/>
  <c r="BP97" i="27"/>
  <c r="BV97" i="27"/>
  <c r="AA98" i="27"/>
  <c r="AB98" i="27"/>
  <c r="AC98" i="27"/>
  <c r="AH98" i="27"/>
  <c r="AI98" i="27"/>
  <c r="AJ98" i="27"/>
  <c r="AK98" i="27"/>
  <c r="AL98" i="27"/>
  <c r="AM98" i="27"/>
  <c r="AN98" i="27"/>
  <c r="AO98" i="27"/>
  <c r="AP98" i="27" s="1"/>
  <c r="AQ98" i="27"/>
  <c r="AR98" i="27"/>
  <c r="AS98" i="27"/>
  <c r="AT98" i="27"/>
  <c r="BF98" i="27"/>
  <c r="BH98" i="27"/>
  <c r="BV98" i="27" s="1"/>
  <c r="BM98" i="27"/>
  <c r="AA99" i="27"/>
  <c r="AB99" i="27"/>
  <c r="AC99" i="27"/>
  <c r="AH99" i="27"/>
  <c r="AI99" i="27"/>
  <c r="AJ99" i="27"/>
  <c r="AK99" i="27"/>
  <c r="AL99" i="27"/>
  <c r="AM99" i="27"/>
  <c r="AN99" i="27"/>
  <c r="AO99" i="27"/>
  <c r="AP99" i="27"/>
  <c r="AQ99" i="27"/>
  <c r="AR99" i="27"/>
  <c r="AS99" i="27"/>
  <c r="AT99" i="27"/>
  <c r="BE99" i="27"/>
  <c r="BH99" i="27"/>
  <c r="BV99" i="27" s="1"/>
  <c r="BL99" i="27"/>
  <c r="BP99" i="27"/>
  <c r="AA100" i="27"/>
  <c r="AB100" i="27"/>
  <c r="AC100" i="27"/>
  <c r="AH100" i="27"/>
  <c r="AI100" i="27"/>
  <c r="AJ100" i="27"/>
  <c r="AK100" i="27"/>
  <c r="AL100" i="27"/>
  <c r="AM100" i="27"/>
  <c r="AN100" i="27"/>
  <c r="AO100" i="27"/>
  <c r="AP100" i="27" s="1"/>
  <c r="AQ100" i="27"/>
  <c r="AR100" i="27"/>
  <c r="AS100" i="27"/>
  <c r="AT100" i="27"/>
  <c r="BF100" i="27"/>
  <c r="BH100" i="27"/>
  <c r="BM100" i="27"/>
  <c r="BV100" i="27"/>
  <c r="AA101" i="27"/>
  <c r="AB101" i="27"/>
  <c r="AC101" i="27"/>
  <c r="AH101" i="27"/>
  <c r="AI101" i="27"/>
  <c r="AJ101" i="27"/>
  <c r="AK101" i="27"/>
  <c r="AL101" i="27"/>
  <c r="AM101" i="27"/>
  <c r="AN101" i="27"/>
  <c r="AO101" i="27"/>
  <c r="AP101" i="27" s="1"/>
  <c r="AQ101" i="27"/>
  <c r="AR101" i="27"/>
  <c r="AS101" i="27"/>
  <c r="AT101" i="27"/>
  <c r="BE101" i="27"/>
  <c r="BH101" i="27"/>
  <c r="BV101" i="27" s="1"/>
  <c r="BL101" i="27"/>
  <c r="BP101" i="27"/>
  <c r="AA102" i="27"/>
  <c r="AB102" i="27"/>
  <c r="AC102" i="27"/>
  <c r="AH102" i="27"/>
  <c r="AI102" i="27"/>
  <c r="AJ102" i="27"/>
  <c r="AK102" i="27"/>
  <c r="AL102" i="27"/>
  <c r="AM102" i="27"/>
  <c r="AN102" i="27"/>
  <c r="AO102" i="27"/>
  <c r="AP102" i="27" s="1"/>
  <c r="AQ102" i="27"/>
  <c r="AR102" i="27"/>
  <c r="AS102" i="27"/>
  <c r="AT102" i="27"/>
  <c r="BF102" i="27"/>
  <c r="BH102" i="27"/>
  <c r="BV102" i="27" s="1"/>
  <c r="BM102" i="27"/>
  <c r="AA103" i="27"/>
  <c r="U33" i="26" s="1"/>
  <c r="AB103" i="27"/>
  <c r="AC103" i="27"/>
  <c r="AH103" i="27"/>
  <c r="AI103" i="27"/>
  <c r="AJ103" i="27"/>
  <c r="AK103" i="27"/>
  <c r="AL103" i="27"/>
  <c r="AM103" i="27"/>
  <c r="AN103" i="27"/>
  <c r="AO103" i="27"/>
  <c r="AP103" i="27"/>
  <c r="AQ103" i="27"/>
  <c r="AR103" i="27"/>
  <c r="AS103" i="27"/>
  <c r="AT103" i="27"/>
  <c r="BE103" i="27"/>
  <c r="BH103" i="27"/>
  <c r="BL103" i="27"/>
  <c r="BP103" i="27"/>
  <c r="BV103" i="27"/>
  <c r="AA104" i="27"/>
  <c r="U32" i="26" s="1"/>
  <c r="AB104" i="27"/>
  <c r="AC104" i="27"/>
  <c r="AH104" i="27"/>
  <c r="AI104" i="27"/>
  <c r="AJ104" i="27"/>
  <c r="AK104" i="27"/>
  <c r="AL104" i="27"/>
  <c r="AM104" i="27"/>
  <c r="AN104" i="27"/>
  <c r="AO104" i="27"/>
  <c r="AP104" i="27"/>
  <c r="AQ104" i="27"/>
  <c r="AR104" i="27"/>
  <c r="AS104" i="27"/>
  <c r="AT104" i="27"/>
  <c r="BF104" i="27"/>
  <c r="BH104" i="27"/>
  <c r="BV104" i="27" s="1"/>
  <c r="BM104" i="27"/>
  <c r="AA105" i="27"/>
  <c r="U31" i="26" s="1"/>
  <c r="AB105" i="27"/>
  <c r="AC105" i="27"/>
  <c r="AE105" i="27"/>
  <c r="AH105" i="27"/>
  <c r="AI105" i="27"/>
  <c r="AJ105" i="27"/>
  <c r="AK105" i="27"/>
  <c r="AL105" i="27"/>
  <c r="AM105" i="27"/>
  <c r="AN105" i="27"/>
  <c r="AO105" i="27"/>
  <c r="AP105" i="27"/>
  <c r="AQ105" i="27"/>
  <c r="AR105" i="27"/>
  <c r="AS105" i="27"/>
  <c r="AT105" i="27"/>
  <c r="BE105" i="27"/>
  <c r="BH105" i="27"/>
  <c r="BL105" i="27"/>
  <c r="BP105" i="27"/>
  <c r="AA106" i="27"/>
  <c r="AB106" i="27"/>
  <c r="AC106" i="27"/>
  <c r="AH106" i="27"/>
  <c r="AI106" i="27"/>
  <c r="AJ106" i="27"/>
  <c r="AK106" i="27"/>
  <c r="AL106" i="27"/>
  <c r="AM106" i="27"/>
  <c r="AN106" i="27"/>
  <c r="AO106" i="27"/>
  <c r="AP106" i="27" s="1"/>
  <c r="AQ106" i="27"/>
  <c r="AR106" i="27"/>
  <c r="AS106" i="27"/>
  <c r="AT106" i="27"/>
  <c r="BF106" i="27"/>
  <c r="BH106" i="27"/>
  <c r="BV106" i="27" s="1"/>
  <c r="BM106" i="27"/>
  <c r="AA107" i="27"/>
  <c r="U29" i="26" s="1"/>
  <c r="AB107" i="27"/>
  <c r="AC107" i="27"/>
  <c r="AH107" i="27"/>
  <c r="AI107" i="27"/>
  <c r="AJ107" i="27"/>
  <c r="AK107" i="27"/>
  <c r="AL107" i="27"/>
  <c r="AM107" i="27"/>
  <c r="AN107" i="27"/>
  <c r="AO107" i="27"/>
  <c r="AP107" i="27"/>
  <c r="AQ107" i="27"/>
  <c r="AR107" i="27"/>
  <c r="AS107" i="27"/>
  <c r="AT107" i="27"/>
  <c r="BE107" i="27"/>
  <c r="BH107" i="27"/>
  <c r="BV107" i="27" s="1"/>
  <c r="BL107" i="27"/>
  <c r="BP107" i="27"/>
  <c r="AA108" i="27"/>
  <c r="U28" i="26" s="1"/>
  <c r="AB108" i="27"/>
  <c r="AC108" i="27"/>
  <c r="AH108" i="27"/>
  <c r="AI108" i="27"/>
  <c r="AJ108" i="27"/>
  <c r="AK108" i="27"/>
  <c r="AL108" i="27"/>
  <c r="AM108" i="27"/>
  <c r="AN108" i="27"/>
  <c r="AO108" i="27"/>
  <c r="AP108" i="27"/>
  <c r="AQ108" i="27"/>
  <c r="AR108" i="27"/>
  <c r="AS108" i="27"/>
  <c r="AT108" i="27"/>
  <c r="BF108" i="27"/>
  <c r="BH108" i="27"/>
  <c r="BV108" i="27" s="1"/>
  <c r="BM108" i="27"/>
  <c r="AA109" i="27"/>
  <c r="U27" i="26" s="1"/>
  <c r="AB109" i="27"/>
  <c r="AC109" i="27"/>
  <c r="AH109" i="27"/>
  <c r="AI109" i="27"/>
  <c r="AJ109" i="27"/>
  <c r="AK109" i="27"/>
  <c r="AL109" i="27"/>
  <c r="AM109" i="27"/>
  <c r="AN109" i="27"/>
  <c r="AO109" i="27"/>
  <c r="AP109" i="27"/>
  <c r="AQ109" i="27"/>
  <c r="AR109" i="27"/>
  <c r="AS109" i="27"/>
  <c r="AT109" i="27"/>
  <c r="BE109" i="27"/>
  <c r="BH109" i="27"/>
  <c r="BL109" i="27"/>
  <c r="BP109" i="27"/>
  <c r="BV109" i="27"/>
  <c r="AA110" i="27"/>
  <c r="U26" i="26" s="1"/>
  <c r="AB110" i="27"/>
  <c r="AC110" i="27"/>
  <c r="AH110" i="27"/>
  <c r="AI110" i="27"/>
  <c r="AJ110" i="27"/>
  <c r="AK110" i="27"/>
  <c r="AL110" i="27"/>
  <c r="AM110" i="27"/>
  <c r="AN110" i="27"/>
  <c r="AO110" i="27"/>
  <c r="AP110" i="27" s="1"/>
  <c r="AQ110" i="27"/>
  <c r="AR110" i="27"/>
  <c r="AS110" i="27"/>
  <c r="AT110" i="27"/>
  <c r="BF110" i="27"/>
  <c r="BH110" i="27"/>
  <c r="BM110" i="27"/>
  <c r="BV110" i="27"/>
  <c r="AA111" i="27"/>
  <c r="U25" i="26" s="1"/>
  <c r="AB111" i="27"/>
  <c r="AC111" i="27"/>
  <c r="AE111" i="27"/>
  <c r="AH111" i="27"/>
  <c r="AI111" i="27"/>
  <c r="AW111" i="27" s="1"/>
  <c r="AJ111" i="27"/>
  <c r="AK111" i="27"/>
  <c r="AL111" i="27"/>
  <c r="AM111" i="27"/>
  <c r="AN111" i="27"/>
  <c r="AO111" i="27"/>
  <c r="AP111" i="27" s="1"/>
  <c r="AQ111" i="27"/>
  <c r="AR111" i="27"/>
  <c r="AS111" i="27"/>
  <c r="AT111" i="27"/>
  <c r="BE111" i="27"/>
  <c r="BH111" i="27"/>
  <c r="BV111" i="27" s="1"/>
  <c r="BL111" i="27"/>
  <c r="BP111" i="27"/>
  <c r="AA112" i="27"/>
  <c r="U24" i="26" s="1"/>
  <c r="AB112" i="27"/>
  <c r="AC112" i="27"/>
  <c r="AH112" i="27"/>
  <c r="AI112" i="27"/>
  <c r="AJ112" i="27"/>
  <c r="AK112" i="27"/>
  <c r="AL112" i="27"/>
  <c r="AM112" i="27"/>
  <c r="AN112" i="27"/>
  <c r="BE112" i="27" s="1"/>
  <c r="AO112" i="27"/>
  <c r="AP112" i="27" s="1"/>
  <c r="AQ112" i="27"/>
  <c r="AR112" i="27"/>
  <c r="AS112" i="27"/>
  <c r="AT112" i="27"/>
  <c r="BF112" i="27"/>
  <c r="BH112" i="27"/>
  <c r="BV112" i="27" s="1"/>
  <c r="BM112" i="27"/>
  <c r="BP5" i="27"/>
  <c r="BL5" i="27"/>
  <c r="BH5" i="27"/>
  <c r="BV5" i="27" s="1"/>
  <c r="BE5" i="27"/>
  <c r="AT5" i="27"/>
  <c r="AS5" i="27"/>
  <c r="AR5" i="27"/>
  <c r="AQ5" i="27"/>
  <c r="AO5" i="27"/>
  <c r="AP5" i="27" s="1"/>
  <c r="AN5" i="27"/>
  <c r="AM5" i="27"/>
  <c r="AL5" i="27"/>
  <c r="AK5" i="27"/>
  <c r="AJ5" i="27"/>
  <c r="AI5" i="27"/>
  <c r="AH5" i="27"/>
  <c r="AC5" i="27"/>
  <c r="AB5" i="27"/>
  <c r="AA5" i="27"/>
  <c r="L3" i="29"/>
  <c r="L2" i="29"/>
  <c r="B8" i="29"/>
  <c r="B7" i="29"/>
  <c r="B6" i="29"/>
  <c r="B5" i="29"/>
  <c r="B4" i="29"/>
  <c r="B3" i="29"/>
  <c r="C5" i="29"/>
  <c r="C4" i="29"/>
  <c r="C3" i="29"/>
  <c r="G82" i="28"/>
  <c r="AG33" i="27" s="1"/>
  <c r="G83" i="28"/>
  <c r="AG76" i="27" s="1"/>
  <c r="G84" i="28"/>
  <c r="AG5" i="27" s="1"/>
  <c r="G85" i="28"/>
  <c r="AG82" i="27" s="1"/>
  <c r="G86" i="28"/>
  <c r="AG101" i="27" s="1"/>
  <c r="G81" i="28"/>
  <c r="AG24" i="27" s="1"/>
  <c r="E30" i="28"/>
  <c r="D27" i="28"/>
  <c r="E26" i="28"/>
  <c r="E25" i="28"/>
  <c r="E24" i="28"/>
  <c r="E22" i="28"/>
  <c r="E20" i="28"/>
  <c r="D20" i="28"/>
  <c r="D15" i="28"/>
  <c r="E14" i="28"/>
  <c r="E13" i="28"/>
  <c r="E15" i="28" s="1"/>
  <c r="E9" i="28"/>
  <c r="D9" i="28"/>
  <c r="E8" i="28"/>
  <c r="E7" i="28"/>
  <c r="AD112" i="27" l="1"/>
  <c r="AD50" i="27"/>
  <c r="AD90" i="27"/>
  <c r="AE32" i="27"/>
  <c r="AE74" i="27"/>
  <c r="AW39" i="27"/>
  <c r="AE86" i="27"/>
  <c r="AD87" i="27"/>
  <c r="AF87" i="27" s="1"/>
  <c r="BX87" i="27" s="1"/>
  <c r="AV87" i="27"/>
  <c r="AE5" i="27"/>
  <c r="AV79" i="27"/>
  <c r="AU71" i="27"/>
  <c r="AE38" i="27"/>
  <c r="BD39" i="27"/>
  <c r="BD40" i="27"/>
  <c r="AW40" i="27"/>
  <c r="BD88" i="27"/>
  <c r="BD84" i="27"/>
  <c r="AU99" i="27"/>
  <c r="AW43" i="27"/>
  <c r="AV39" i="27"/>
  <c r="BD14" i="27"/>
  <c r="AW66" i="27"/>
  <c r="BD19" i="27"/>
  <c r="BD63" i="27"/>
  <c r="AX76" i="27"/>
  <c r="AZ76" i="27" s="1"/>
  <c r="AE45" i="27"/>
  <c r="BD36" i="27"/>
  <c r="AW98" i="27"/>
  <c r="AW80" i="27"/>
  <c r="BD74" i="27"/>
  <c r="BD54" i="27"/>
  <c r="BD101" i="27"/>
  <c r="AW42" i="27"/>
  <c r="BD43" i="27"/>
  <c r="AE73" i="27"/>
  <c r="BD69" i="27"/>
  <c r="AE29" i="27"/>
  <c r="AD86" i="27"/>
  <c r="AF86" i="27" s="1"/>
  <c r="BW86" i="27" s="1"/>
  <c r="BD87" i="27"/>
  <c r="AE109" i="27"/>
  <c r="AD16" i="27"/>
  <c r="AF16" i="27" s="1"/>
  <c r="BW16" i="27" s="1"/>
  <c r="AW27" i="27"/>
  <c r="BD22" i="27"/>
  <c r="AD7" i="27"/>
  <c r="BD109" i="27"/>
  <c r="AE12" i="27"/>
  <c r="AE93" i="27"/>
  <c r="BD81" i="27"/>
  <c r="AG43" i="27"/>
  <c r="AX43" i="27" s="1"/>
  <c r="AZ43" i="27" s="1"/>
  <c r="AE25" i="27"/>
  <c r="AW55" i="27"/>
  <c r="AE71" i="27"/>
  <c r="BD73" i="27"/>
  <c r="BD68" i="27"/>
  <c r="BD29" i="27"/>
  <c r="AW30" i="27"/>
  <c r="AE48" i="27"/>
  <c r="AW89" i="27"/>
  <c r="AW31" i="27"/>
  <c r="AE106" i="27"/>
  <c r="U30" i="26"/>
  <c r="AV61" i="27"/>
  <c r="AD108" i="27"/>
  <c r="AW85" i="27"/>
  <c r="AE78" i="27"/>
  <c r="BD95" i="27"/>
  <c r="BD44" i="27"/>
  <c r="BD90" i="27"/>
  <c r="AW54" i="27"/>
  <c r="BD96" i="27"/>
  <c r="AW102" i="27"/>
  <c r="AW99" i="27"/>
  <c r="AW96" i="27"/>
  <c r="AW28" i="27"/>
  <c r="AU29" i="27"/>
  <c r="AE100" i="27"/>
  <c r="BD50" i="27"/>
  <c r="AV45" i="27"/>
  <c r="BD110" i="27"/>
  <c r="AW5" i="27"/>
  <c r="AE34" i="27"/>
  <c r="AD91" i="27"/>
  <c r="AD109" i="27"/>
  <c r="AD97" i="27"/>
  <c r="AD6" i="27"/>
  <c r="AE14" i="27"/>
  <c r="BD75" i="27"/>
  <c r="AW32" i="27"/>
  <c r="AW24" i="27"/>
  <c r="AW90" i="27"/>
  <c r="AW58" i="27"/>
  <c r="AW37" i="27"/>
  <c r="AX5" i="27"/>
  <c r="AZ5" i="27" s="1"/>
  <c r="AW57" i="27"/>
  <c r="AG105" i="27"/>
  <c r="AX105" i="27" s="1"/>
  <c r="AZ105" i="27" s="1"/>
  <c r="AW61" i="27"/>
  <c r="AE39" i="27"/>
  <c r="AW93" i="27"/>
  <c r="AG65" i="27"/>
  <c r="AX65" i="27" s="1"/>
  <c r="AZ65" i="27" s="1"/>
  <c r="AG62" i="27"/>
  <c r="AX62" i="27" s="1"/>
  <c r="AZ62" i="27" s="1"/>
  <c r="BD92" i="27"/>
  <c r="AE63" i="27"/>
  <c r="AG106" i="27"/>
  <c r="AX106" i="27" s="1"/>
  <c r="AZ106" i="27" s="1"/>
  <c r="AG12" i="27"/>
  <c r="AX12" i="27" s="1"/>
  <c r="AZ12" i="27" s="1"/>
  <c r="BD107" i="27"/>
  <c r="BD85" i="27"/>
  <c r="AE40" i="27"/>
  <c r="BD34" i="27"/>
  <c r="BD26" i="27"/>
  <c r="BD5" i="27"/>
  <c r="BD76" i="27"/>
  <c r="AW10" i="27"/>
  <c r="BD24" i="27"/>
  <c r="AV55" i="27"/>
  <c r="BD33" i="27"/>
  <c r="BD108" i="27"/>
  <c r="BD67" i="27"/>
  <c r="BD35" i="27"/>
  <c r="AV29" i="27"/>
  <c r="AG19" i="27"/>
  <c r="AW110" i="27"/>
  <c r="AW15" i="27"/>
  <c r="AV37" i="27"/>
  <c r="AU68" i="27"/>
  <c r="AW9" i="27"/>
  <c r="BD112" i="27"/>
  <c r="AG17" i="27"/>
  <c r="AX17" i="27" s="1"/>
  <c r="AZ17" i="27" s="1"/>
  <c r="AE64" i="27"/>
  <c r="AU55" i="27"/>
  <c r="BD21" i="27"/>
  <c r="AE7" i="27"/>
  <c r="AD39" i="27"/>
  <c r="AD107" i="27"/>
  <c r="AE85" i="27"/>
  <c r="AW60" i="27"/>
  <c r="AE26" i="27"/>
  <c r="AE19" i="27"/>
  <c r="AW8" i="27"/>
  <c r="AE49" i="27"/>
  <c r="AW36" i="27"/>
  <c r="AE21" i="27"/>
  <c r="AW75" i="27"/>
  <c r="AE55" i="27"/>
  <c r="AE22" i="27"/>
  <c r="AW23" i="27"/>
  <c r="BD58" i="27"/>
  <c r="AV92" i="27"/>
  <c r="AG48" i="27"/>
  <c r="AX48" i="27" s="1"/>
  <c r="AZ48" i="27" s="1"/>
  <c r="AE108" i="27"/>
  <c r="AV96" i="27"/>
  <c r="AU98" i="27"/>
  <c r="AU80" i="27"/>
  <c r="BD28" i="27"/>
  <c r="AG111" i="27"/>
  <c r="AX111" i="27" s="1"/>
  <c r="AZ111" i="27" s="1"/>
  <c r="AG93" i="27"/>
  <c r="AX93" i="27" s="1"/>
  <c r="BD97" i="27"/>
  <c r="BD78" i="27"/>
  <c r="AE97" i="27"/>
  <c r="AG79" i="27"/>
  <c r="AX79" i="27" s="1"/>
  <c r="AZ79" i="27" s="1"/>
  <c r="AG98" i="27"/>
  <c r="AX98" i="27" s="1"/>
  <c r="AZ98" i="27" s="1"/>
  <c r="AD96" i="27"/>
  <c r="AG81" i="27"/>
  <c r="AX81" i="27" s="1"/>
  <c r="AZ81" i="27" s="1"/>
  <c r="AE80" i="27"/>
  <c r="BD61" i="27"/>
  <c r="AD53" i="27"/>
  <c r="BD49" i="27"/>
  <c r="AW48" i="27"/>
  <c r="AD19" i="27"/>
  <c r="BD13" i="27"/>
  <c r="BD12" i="27"/>
  <c r="AG104" i="27"/>
  <c r="AX104" i="27" s="1"/>
  <c r="AZ104" i="27" s="1"/>
  <c r="BD45" i="27"/>
  <c r="AE8" i="27"/>
  <c r="AE66" i="27"/>
  <c r="AG52" i="27"/>
  <c r="AX52" i="27" s="1"/>
  <c r="AZ52" i="27" s="1"/>
  <c r="BD37" i="27"/>
  <c r="AG108" i="27"/>
  <c r="AW87" i="27"/>
  <c r="AG68" i="27"/>
  <c r="AX68" i="27" s="1"/>
  <c r="AZ68" i="27" s="1"/>
  <c r="AD80" i="27"/>
  <c r="AV99" i="27"/>
  <c r="AD70" i="27"/>
  <c r="AW41" i="27"/>
  <c r="AW29" i="27"/>
  <c r="AG88" i="27"/>
  <c r="AX88" i="27" s="1"/>
  <c r="AZ88" i="27" s="1"/>
  <c r="AG87" i="27"/>
  <c r="AX87" i="27" s="1"/>
  <c r="AZ87" i="27" s="1"/>
  <c r="AU79" i="27"/>
  <c r="AY79" i="27" s="1"/>
  <c r="BD9" i="27"/>
  <c r="BD106" i="27"/>
  <c r="BD93" i="27"/>
  <c r="AV62" i="27"/>
  <c r="AU111" i="27"/>
  <c r="AE58" i="27"/>
  <c r="BD18" i="27"/>
  <c r="AU41" i="27"/>
  <c r="BD79" i="27"/>
  <c r="BD53" i="27"/>
  <c r="AG100" i="27"/>
  <c r="AX100" i="27" s="1"/>
  <c r="AZ100" i="27" s="1"/>
  <c r="AG78" i="27"/>
  <c r="AX78" i="27" s="1"/>
  <c r="AZ78" i="27" s="1"/>
  <c r="AD37" i="27"/>
  <c r="AF37" i="27" s="1"/>
  <c r="BX37" i="27" s="1"/>
  <c r="BD20" i="27"/>
  <c r="D39" i="28"/>
  <c r="BD99" i="27"/>
  <c r="AG96" i="27"/>
  <c r="AX96" i="27" s="1"/>
  <c r="AZ96" i="27" s="1"/>
  <c r="BD82" i="27"/>
  <c r="BD62" i="27"/>
  <c r="AV57" i="27"/>
  <c r="AE36" i="27"/>
  <c r="AG99" i="27"/>
  <c r="AX99" i="27" s="1"/>
  <c r="AZ99" i="27" s="1"/>
  <c r="AU109" i="27"/>
  <c r="AD82" i="27"/>
  <c r="AG71" i="27"/>
  <c r="AX71" i="27" s="1"/>
  <c r="AZ71" i="27" s="1"/>
  <c r="AD99" i="27"/>
  <c r="AU92" i="27"/>
  <c r="BD31" i="27"/>
  <c r="BD23" i="27"/>
  <c r="AW22" i="27"/>
  <c r="BD7" i="27"/>
  <c r="AG89" i="27"/>
  <c r="AX89" i="27" s="1"/>
  <c r="AZ89" i="27" s="1"/>
  <c r="BD51" i="27"/>
  <c r="BD17" i="27"/>
  <c r="BD111" i="27"/>
  <c r="AE33" i="27"/>
  <c r="AU5" i="27"/>
  <c r="AG92" i="27"/>
  <c r="AX92" i="27" s="1"/>
  <c r="AZ92" i="27" s="1"/>
  <c r="AG112" i="27"/>
  <c r="AX112" i="27" s="1"/>
  <c r="AZ112" i="27" s="1"/>
  <c r="BD100" i="27"/>
  <c r="AG77" i="27"/>
  <c r="AX77" i="27" s="1"/>
  <c r="AZ77" i="27" s="1"/>
  <c r="AG97" i="27"/>
  <c r="AX97" i="27" s="1"/>
  <c r="AZ97" i="27" s="1"/>
  <c r="AU105" i="27"/>
  <c r="AG70" i="27"/>
  <c r="AX70" i="27" s="1"/>
  <c r="AZ70" i="27" s="1"/>
  <c r="AW109" i="27"/>
  <c r="AV93" i="27"/>
  <c r="AD81" i="27"/>
  <c r="AF81" i="27" s="1"/>
  <c r="BX81" i="27" s="1"/>
  <c r="AV75" i="27"/>
  <c r="AU93" i="27"/>
  <c r="AD62" i="27"/>
  <c r="BD72" i="27"/>
  <c r="BD64" i="27"/>
  <c r="BD42" i="27"/>
  <c r="AG30" i="27"/>
  <c r="AX30" i="27" s="1"/>
  <c r="AZ30" i="27" s="1"/>
  <c r="BE36" i="27"/>
  <c r="BD103" i="27"/>
  <c r="AG83" i="27"/>
  <c r="AX83" i="27" s="1"/>
  <c r="AZ83" i="27" s="1"/>
  <c r="AE62" i="27"/>
  <c r="BD56" i="27"/>
  <c r="BD15" i="27"/>
  <c r="AG86" i="27"/>
  <c r="BD25" i="27"/>
  <c r="AG110" i="27"/>
  <c r="AX110" i="27" s="1"/>
  <c r="AZ110" i="27" s="1"/>
  <c r="BD52" i="27"/>
  <c r="AE17" i="27"/>
  <c r="AG94" i="27"/>
  <c r="AX94" i="27" s="1"/>
  <c r="AZ94" i="27" s="1"/>
  <c r="AG109" i="27"/>
  <c r="AX109" i="27" s="1"/>
  <c r="AZ109" i="27" s="1"/>
  <c r="BD11" i="27"/>
  <c r="BD27" i="27"/>
  <c r="BD98" i="27"/>
  <c r="AG69" i="27"/>
  <c r="AX69" i="27" s="1"/>
  <c r="AZ69" i="27" s="1"/>
  <c r="AD95" i="27"/>
  <c r="AF95" i="27" s="1"/>
  <c r="BX95" i="27" s="1"/>
  <c r="AD38" i="27"/>
  <c r="AF38" i="27" s="1"/>
  <c r="BW38" i="27" s="1"/>
  <c r="BD30" i="27"/>
  <c r="AV109" i="27"/>
  <c r="BD104" i="27"/>
  <c r="BD55" i="27"/>
  <c r="AU45" i="27"/>
  <c r="AE41" i="27"/>
  <c r="AW103" i="27"/>
  <c r="AG84" i="27"/>
  <c r="AX84" i="27" s="1"/>
  <c r="AZ84" i="27" s="1"/>
  <c r="AU73" i="27"/>
  <c r="AE54" i="27"/>
  <c r="BD16" i="27"/>
  <c r="AE112" i="27"/>
  <c r="AF112" i="27" s="1"/>
  <c r="AD102" i="27"/>
  <c r="AE102" i="27"/>
  <c r="BE96" i="27"/>
  <c r="BE94" i="27"/>
  <c r="BE90" i="27"/>
  <c r="AW71" i="27"/>
  <c r="AV71" i="27"/>
  <c r="AY71" i="27" s="1"/>
  <c r="AV58" i="27"/>
  <c r="BE88" i="27"/>
  <c r="AW69" i="27"/>
  <c r="AU69" i="27"/>
  <c r="AV69" i="27"/>
  <c r="AU91" i="27"/>
  <c r="AV91" i="27"/>
  <c r="AW91" i="27"/>
  <c r="BE66" i="27"/>
  <c r="AU8" i="27"/>
  <c r="BV105" i="27"/>
  <c r="AV40" i="27"/>
  <c r="AU22" i="27"/>
  <c r="AV22" i="27"/>
  <c r="AU10" i="27"/>
  <c r="AV90" i="27"/>
  <c r="AV102" i="27"/>
  <c r="AV42" i="27"/>
  <c r="AV60" i="27"/>
  <c r="AV12" i="27"/>
  <c r="AU20" i="27"/>
  <c r="AV20" i="27"/>
  <c r="AU60" i="27"/>
  <c r="AV52" i="27"/>
  <c r="AV38" i="27"/>
  <c r="AV80" i="27"/>
  <c r="AU14" i="27"/>
  <c r="AV78" i="27"/>
  <c r="AV14" i="27"/>
  <c r="AU42" i="27"/>
  <c r="AD101" i="27"/>
  <c r="AE101" i="27"/>
  <c r="AD98" i="27"/>
  <c r="AE98" i="27"/>
  <c r="AE91" i="27"/>
  <c r="AU77" i="27"/>
  <c r="AV77" i="27"/>
  <c r="AW77" i="27"/>
  <c r="AU65" i="27"/>
  <c r="AU112" i="27"/>
  <c r="AV100" i="27"/>
  <c r="AF90" i="27"/>
  <c r="AX82" i="27"/>
  <c r="AZ82" i="27" s="1"/>
  <c r="AU82" i="27"/>
  <c r="AW82" i="27"/>
  <c r="AD68" i="27"/>
  <c r="AE68" i="27"/>
  <c r="AU58" i="27"/>
  <c r="BE56" i="27"/>
  <c r="AD48" i="27"/>
  <c r="AD12" i="27"/>
  <c r="AD45" i="27"/>
  <c r="AD66" i="27"/>
  <c r="AD31" i="27"/>
  <c r="AD41" i="27"/>
  <c r="AD9" i="27"/>
  <c r="AF9" i="27" s="1"/>
  <c r="AD40" i="27"/>
  <c r="AD14" i="27"/>
  <c r="AD21" i="27"/>
  <c r="AD58" i="27"/>
  <c r="AD64" i="27"/>
  <c r="AD84" i="27"/>
  <c r="AF84" i="27" s="1"/>
  <c r="AD106" i="27"/>
  <c r="AD93" i="27"/>
  <c r="AD105" i="27"/>
  <c r="AF105" i="27" s="1"/>
  <c r="AD34" i="27"/>
  <c r="AF34" i="27" s="1"/>
  <c r="AD15" i="27"/>
  <c r="AF15" i="27" s="1"/>
  <c r="AD25" i="27"/>
  <c r="AD17" i="27"/>
  <c r="AD71" i="27"/>
  <c r="AD46" i="27"/>
  <c r="AF46" i="27" s="1"/>
  <c r="AD22" i="27"/>
  <c r="AD33" i="27"/>
  <c r="AD47" i="27"/>
  <c r="AD76" i="27"/>
  <c r="AD29" i="27"/>
  <c r="AD77" i="27"/>
  <c r="AD18" i="27"/>
  <c r="AD32" i="27"/>
  <c r="AF32" i="27" s="1"/>
  <c r="AD111" i="27"/>
  <c r="AF111" i="27" s="1"/>
  <c r="AU85" i="27"/>
  <c r="BE68" i="27"/>
  <c r="AE82" i="27"/>
  <c r="AW81" i="27"/>
  <c r="AU81" i="27"/>
  <c r="AV81" i="27"/>
  <c r="AW47" i="27"/>
  <c r="AU47" i="27"/>
  <c r="AV47" i="27"/>
  <c r="BE92" i="27"/>
  <c r="AV68" i="27"/>
  <c r="AW50" i="27"/>
  <c r="AV50" i="27"/>
  <c r="AU50" i="27"/>
  <c r="AD24" i="27"/>
  <c r="AE24" i="27"/>
  <c r="AD43" i="27"/>
  <c r="AE43" i="27"/>
  <c r="E27" i="28"/>
  <c r="AW25" i="27"/>
  <c r="AV25" i="27"/>
  <c r="AU25" i="27"/>
  <c r="AU101" i="27"/>
  <c r="AW101" i="27"/>
  <c r="AX101" i="27"/>
  <c r="AZ101" i="27" s="1"/>
  <c r="AV101" i="27"/>
  <c r="BE24" i="27"/>
  <c r="BE50" i="27"/>
  <c r="BE52" i="27"/>
  <c r="BE16" i="27"/>
  <c r="BE26" i="27"/>
  <c r="BE44" i="27"/>
  <c r="BE64" i="27"/>
  <c r="BE80" i="27"/>
  <c r="BE106" i="27"/>
  <c r="BE84" i="27"/>
  <c r="BE32" i="27"/>
  <c r="BE74" i="27"/>
  <c r="BE78" i="27"/>
  <c r="BE38" i="27"/>
  <c r="BE30" i="27"/>
  <c r="BE6" i="27"/>
  <c r="BE14" i="27"/>
  <c r="BE98" i="27"/>
  <c r="BE76" i="27"/>
  <c r="BE100" i="27"/>
  <c r="BE70" i="27"/>
  <c r="BE110" i="27"/>
  <c r="AU104" i="27"/>
  <c r="AV104" i="27"/>
  <c r="AW104" i="27"/>
  <c r="AV110" i="27"/>
  <c r="AU110" i="27"/>
  <c r="AP70" i="27"/>
  <c r="BD70" i="27"/>
  <c r="AV94" i="27"/>
  <c r="AF75" i="27"/>
  <c r="BV43" i="27"/>
  <c r="D41" i="28"/>
  <c r="D40" i="28"/>
  <c r="D42" i="28" s="1"/>
  <c r="AD103" i="27"/>
  <c r="AW100" i="27"/>
  <c r="AU94" i="27"/>
  <c r="AV88" i="27"/>
  <c r="AU88" i="27"/>
  <c r="AW88" i="27"/>
  <c r="BA88" i="27" s="1"/>
  <c r="AU78" i="27"/>
  <c r="AD63" i="27"/>
  <c r="AD85" i="27"/>
  <c r="AD51" i="27"/>
  <c r="AE51" i="27"/>
  <c r="AU97" i="27"/>
  <c r="AV97" i="27"/>
  <c r="AW97" i="27"/>
  <c r="AD5" i="27"/>
  <c r="BE102" i="27"/>
  <c r="BE72" i="27"/>
  <c r="AV111" i="27"/>
  <c r="AE89" i="27"/>
  <c r="AF89" i="27" s="1"/>
  <c r="AF50" i="27"/>
  <c r="BE108" i="27"/>
  <c r="AD110" i="27"/>
  <c r="AE110" i="27"/>
  <c r="AU100" i="27"/>
  <c r="AV82" i="27"/>
  <c r="AE107" i="27"/>
  <c r="AV112" i="27"/>
  <c r="AW112" i="27"/>
  <c r="AW106" i="27"/>
  <c r="AV106" i="27"/>
  <c r="AU106" i="27"/>
  <c r="AE96" i="27"/>
  <c r="BD80" i="27"/>
  <c r="AU54" i="27"/>
  <c r="AV54" i="27"/>
  <c r="AE53" i="27"/>
  <c r="AV48" i="27"/>
  <c r="BD32" i="27"/>
  <c r="AP32" i="27"/>
  <c r="E39" i="28"/>
  <c r="AU103" i="27"/>
  <c r="BE86" i="27"/>
  <c r="AE59" i="27"/>
  <c r="AD59" i="27"/>
  <c r="AG10" i="27"/>
  <c r="AX10" i="27" s="1"/>
  <c r="AZ10" i="27" s="1"/>
  <c r="AG9" i="27"/>
  <c r="AX9" i="27" s="1"/>
  <c r="AZ9" i="27" s="1"/>
  <c r="AG75" i="27"/>
  <c r="AX75" i="27" s="1"/>
  <c r="AZ75" i="27" s="1"/>
  <c r="BE104" i="27"/>
  <c r="AE99" i="27"/>
  <c r="AD88" i="27"/>
  <c r="AE88" i="27"/>
  <c r="AW84" i="27"/>
  <c r="AU84" i="27"/>
  <c r="AV84" i="27"/>
  <c r="AU76" i="27"/>
  <c r="BD71" i="27"/>
  <c r="BE40" i="27"/>
  <c r="AD36" i="27"/>
  <c r="AW33" i="27"/>
  <c r="AX33" i="27"/>
  <c r="AZ33" i="27" s="1"/>
  <c r="BE28" i="27"/>
  <c r="AU74" i="27"/>
  <c r="AV74" i="27"/>
  <c r="BD65" i="27"/>
  <c r="AU90" i="27"/>
  <c r="AW86" i="27"/>
  <c r="AV86" i="27"/>
  <c r="AX86" i="27"/>
  <c r="AZ86" i="27" s="1"/>
  <c r="AU49" i="27"/>
  <c r="AU108" i="27"/>
  <c r="AW108" i="27"/>
  <c r="AX108" i="27"/>
  <c r="AZ108" i="27" s="1"/>
  <c r="AD79" i="27"/>
  <c r="AE79" i="27"/>
  <c r="AV76" i="27"/>
  <c r="AE65" i="27"/>
  <c r="AD65" i="27"/>
  <c r="AD49" i="27"/>
  <c r="AF49" i="27" s="1"/>
  <c r="AU46" i="27"/>
  <c r="AW46" i="27"/>
  <c r="AV46" i="27"/>
  <c r="AG34" i="27"/>
  <c r="AX34" i="27" s="1"/>
  <c r="AZ34" i="27" s="1"/>
  <c r="AG58" i="27"/>
  <c r="AX58" i="27" s="1"/>
  <c r="AZ58" i="27" s="1"/>
  <c r="AG37" i="27"/>
  <c r="AX37" i="27" s="1"/>
  <c r="AZ37" i="27" s="1"/>
  <c r="AG38" i="27"/>
  <c r="AX38" i="27" s="1"/>
  <c r="AZ38" i="27" s="1"/>
  <c r="AG29" i="27"/>
  <c r="AX29" i="27" s="1"/>
  <c r="AZ29" i="27" s="1"/>
  <c r="AG49" i="27"/>
  <c r="AX49" i="27" s="1"/>
  <c r="AZ49" i="27" s="1"/>
  <c r="AG28" i="27"/>
  <c r="AX28" i="27" s="1"/>
  <c r="AZ28" i="27" s="1"/>
  <c r="AG27" i="27"/>
  <c r="AX27" i="27" s="1"/>
  <c r="AZ27" i="27" s="1"/>
  <c r="AG31" i="27"/>
  <c r="AX31" i="27" s="1"/>
  <c r="AZ31" i="27" s="1"/>
  <c r="AG56" i="27"/>
  <c r="AX56" i="27" s="1"/>
  <c r="AZ56" i="27" s="1"/>
  <c r="AG73" i="27"/>
  <c r="AX73" i="27" s="1"/>
  <c r="AZ73" i="27" s="1"/>
  <c r="AG36" i="27"/>
  <c r="AX36" i="27" s="1"/>
  <c r="AZ36" i="27" s="1"/>
  <c r="AG57" i="27"/>
  <c r="AX57" i="27" s="1"/>
  <c r="AZ57" i="27" s="1"/>
  <c r="AG54" i="27"/>
  <c r="AX54" i="27" s="1"/>
  <c r="AZ54" i="27" s="1"/>
  <c r="AG66" i="27"/>
  <c r="AX66" i="27" s="1"/>
  <c r="AZ66" i="27" s="1"/>
  <c r="AG55" i="27"/>
  <c r="AX55" i="27" s="1"/>
  <c r="AG50" i="27"/>
  <c r="AX50" i="27" s="1"/>
  <c r="AZ50" i="27" s="1"/>
  <c r="AG51" i="27"/>
  <c r="AX51" i="27" s="1"/>
  <c r="AZ51" i="27" s="1"/>
  <c r="AG107" i="27"/>
  <c r="AX107" i="27" s="1"/>
  <c r="AZ107" i="27" s="1"/>
  <c r="AG72" i="27"/>
  <c r="AX72" i="27" s="1"/>
  <c r="AZ72" i="27" s="1"/>
  <c r="AG25" i="27"/>
  <c r="AX25" i="27" s="1"/>
  <c r="AZ25" i="27" s="1"/>
  <c r="AG74" i="27"/>
  <c r="AX74" i="27" s="1"/>
  <c r="AZ74" i="27" s="1"/>
  <c r="AG32" i="27"/>
  <c r="AX32" i="27" s="1"/>
  <c r="AZ32" i="27" s="1"/>
  <c r="AG26" i="27"/>
  <c r="AX26" i="27" s="1"/>
  <c r="AZ26" i="27" s="1"/>
  <c r="AG35" i="27"/>
  <c r="AX35" i="27" s="1"/>
  <c r="AZ35" i="27" s="1"/>
  <c r="AG53" i="27"/>
  <c r="AX53" i="27" s="1"/>
  <c r="AZ53" i="27" s="1"/>
  <c r="BD105" i="27"/>
  <c r="BD94" i="27"/>
  <c r="AE103" i="27"/>
  <c r="AU89" i="27"/>
  <c r="AV105" i="27"/>
  <c r="AW105" i="27"/>
  <c r="BD102" i="27"/>
  <c r="AW74" i="27"/>
  <c r="AU72" i="27"/>
  <c r="AU33" i="27"/>
  <c r="AV5" i="27"/>
  <c r="AU96" i="27"/>
  <c r="AU87" i="27"/>
  <c r="AU86" i="27"/>
  <c r="AD83" i="27"/>
  <c r="AV98" i="27"/>
  <c r="AU83" i="27"/>
  <c r="AV83" i="27"/>
  <c r="AW83" i="27"/>
  <c r="AU56" i="27"/>
  <c r="AV56" i="27"/>
  <c r="AW56" i="27"/>
  <c r="AV108" i="27"/>
  <c r="AD94" i="27"/>
  <c r="AU66" i="27"/>
  <c r="AU21" i="27"/>
  <c r="AD11" i="27"/>
  <c r="AW92" i="27"/>
  <c r="AD28" i="27"/>
  <c r="AE28" i="27"/>
  <c r="AU102" i="27"/>
  <c r="AW45" i="27"/>
  <c r="AV33" i="27"/>
  <c r="BE82" i="27"/>
  <c r="AD69" i="27"/>
  <c r="AE69" i="27"/>
  <c r="AU62" i="27"/>
  <c r="AV9" i="27"/>
  <c r="AU23" i="27"/>
  <c r="AV31" i="27"/>
  <c r="AV49" i="27"/>
  <c r="AV15" i="27"/>
  <c r="AV41" i="27"/>
  <c r="AV67" i="27"/>
  <c r="AV103" i="27"/>
  <c r="AV65" i="27"/>
  <c r="AV89" i="27"/>
  <c r="AD100" i="27"/>
  <c r="AU63" i="27"/>
  <c r="AW63" i="27"/>
  <c r="AV63" i="27"/>
  <c r="AU37" i="27"/>
  <c r="AU32" i="27"/>
  <c r="AD44" i="27"/>
  <c r="AE44" i="27"/>
  <c r="AV32" i="27"/>
  <c r="AD10" i="27"/>
  <c r="AE10" i="27"/>
  <c r="AE23" i="27"/>
  <c r="AD23" i="27"/>
  <c r="AD27" i="27"/>
  <c r="AE27" i="27"/>
  <c r="L48" i="29"/>
  <c r="AV17" i="27"/>
  <c r="AW17" i="27"/>
  <c r="AU17" i="27"/>
  <c r="BV6" i="27"/>
  <c r="M48" i="29"/>
  <c r="AV53" i="27"/>
  <c r="AW53" i="27"/>
  <c r="AU53" i="27"/>
  <c r="AD42" i="27"/>
  <c r="AV35" i="27"/>
  <c r="AW26" i="27"/>
  <c r="AV26" i="27"/>
  <c r="AD73" i="27"/>
  <c r="AD30" i="27"/>
  <c r="AE30" i="27"/>
  <c r="BD91" i="27"/>
  <c r="AE76" i="27"/>
  <c r="AW67" i="27"/>
  <c r="AU59" i="27"/>
  <c r="AV59" i="27"/>
  <c r="AW59" i="27"/>
  <c r="BE48" i="27"/>
  <c r="AD35" i="27"/>
  <c r="BD41" i="27"/>
  <c r="BE20" i="27"/>
  <c r="AU31" i="27"/>
  <c r="AW16" i="27"/>
  <c r="AV16" i="27"/>
  <c r="AD67" i="27"/>
  <c r="AF67" i="27" s="1"/>
  <c r="AW52" i="27"/>
  <c r="AU52" i="27"/>
  <c r="AU40" i="27"/>
  <c r="AE77" i="27"/>
  <c r="BE12" i="27"/>
  <c r="AW94" i="27"/>
  <c r="AE83" i="27"/>
  <c r="AV70" i="27"/>
  <c r="AU70" i="27"/>
  <c r="AW70" i="27"/>
  <c r="AW35" i="27"/>
  <c r="E40" i="28"/>
  <c r="E42" i="28" s="1"/>
  <c r="AU57" i="27"/>
  <c r="AD92" i="27"/>
  <c r="AE92" i="27"/>
  <c r="AW68" i="27"/>
  <c r="AD52" i="27"/>
  <c r="AE52" i="27"/>
  <c r="AU35" i="27"/>
  <c r="AU26" i="27"/>
  <c r="AV85" i="27"/>
  <c r="AD74" i="27"/>
  <c r="AF74" i="27" s="1"/>
  <c r="AD20" i="27"/>
  <c r="AE20" i="27"/>
  <c r="AG90" i="27"/>
  <c r="AX90" i="27" s="1"/>
  <c r="AZ90" i="27" s="1"/>
  <c r="AG102" i="27"/>
  <c r="AX102" i="27" s="1"/>
  <c r="AZ102" i="27" s="1"/>
  <c r="AG91" i="27"/>
  <c r="AX91" i="27" s="1"/>
  <c r="AZ91" i="27" s="1"/>
  <c r="AG103" i="27"/>
  <c r="AX103" i="27" s="1"/>
  <c r="AZ103" i="27" s="1"/>
  <c r="AE94" i="27"/>
  <c r="AG85" i="27"/>
  <c r="AX85" i="27" s="1"/>
  <c r="AZ85" i="27" s="1"/>
  <c r="AG80" i="27"/>
  <c r="AX80" i="27" s="1"/>
  <c r="AZ80" i="27" s="1"/>
  <c r="AU75" i="27"/>
  <c r="AD72" i="27"/>
  <c r="AE70" i="27"/>
  <c r="AU67" i="27"/>
  <c r="AU51" i="27"/>
  <c r="AV51" i="27"/>
  <c r="AW51" i="27"/>
  <c r="AG44" i="27"/>
  <c r="AX44" i="27" s="1"/>
  <c r="AZ44" i="27" s="1"/>
  <c r="AU61" i="27"/>
  <c r="AU34" i="27"/>
  <c r="AV34" i="27"/>
  <c r="AW34" i="27"/>
  <c r="AV30" i="27"/>
  <c r="AW20" i="27"/>
  <c r="AU30" i="27"/>
  <c r="BD66" i="27"/>
  <c r="BE54" i="27"/>
  <c r="AU12" i="27"/>
  <c r="AU95" i="27"/>
  <c r="AV95" i="27"/>
  <c r="AW95" i="27"/>
  <c r="AD78" i="27"/>
  <c r="AV66" i="27"/>
  <c r="BE60" i="27"/>
  <c r="BD46" i="27"/>
  <c r="AP46" i="27"/>
  <c r="BE18" i="27"/>
  <c r="AD104" i="27"/>
  <c r="AE104" i="27"/>
  <c r="BE8" i="27"/>
  <c r="E41" i="28"/>
  <c r="AG22" i="27"/>
  <c r="AX22" i="27" s="1"/>
  <c r="AZ22" i="27" s="1"/>
  <c r="AG46" i="27"/>
  <c r="AX46" i="27" s="1"/>
  <c r="AZ46" i="27" s="1"/>
  <c r="AG39" i="27"/>
  <c r="AX39" i="27" s="1"/>
  <c r="AZ39" i="27" s="1"/>
  <c r="AG40" i="27"/>
  <c r="AX40" i="27" s="1"/>
  <c r="AZ40" i="27" s="1"/>
  <c r="AG41" i="27"/>
  <c r="AX41" i="27" s="1"/>
  <c r="AZ41" i="27" s="1"/>
  <c r="AG42" i="27"/>
  <c r="AX42" i="27" s="1"/>
  <c r="AZ42" i="27" s="1"/>
  <c r="AG63" i="27"/>
  <c r="AX63" i="27" s="1"/>
  <c r="AZ63" i="27" s="1"/>
  <c r="AG64" i="27"/>
  <c r="AX64" i="27" s="1"/>
  <c r="AZ64" i="27" s="1"/>
  <c r="AG13" i="27"/>
  <c r="AX13" i="27" s="1"/>
  <c r="AZ13" i="27" s="1"/>
  <c r="AG59" i="27"/>
  <c r="AX59" i="27" s="1"/>
  <c r="AZ59" i="27" s="1"/>
  <c r="AG61" i="27"/>
  <c r="AX61" i="27" s="1"/>
  <c r="AZ61" i="27" s="1"/>
  <c r="AG15" i="27"/>
  <c r="AX15" i="27" s="1"/>
  <c r="AG18" i="27"/>
  <c r="AX18" i="27" s="1"/>
  <c r="AZ18" i="27" s="1"/>
  <c r="AG11" i="27"/>
  <c r="AX11" i="27" s="1"/>
  <c r="AZ11" i="27" s="1"/>
  <c r="AG60" i="27"/>
  <c r="AX60" i="27" s="1"/>
  <c r="AZ60" i="27" s="1"/>
  <c r="AG23" i="27"/>
  <c r="AX23" i="27" s="1"/>
  <c r="AZ23" i="27" s="1"/>
  <c r="AG20" i="27"/>
  <c r="AX20" i="27" s="1"/>
  <c r="AZ20" i="27" s="1"/>
  <c r="AG45" i="27"/>
  <c r="AX45" i="27" s="1"/>
  <c r="AZ45" i="27" s="1"/>
  <c r="AG14" i="27"/>
  <c r="AG21" i="27"/>
  <c r="AX21" i="27" s="1"/>
  <c r="AZ21" i="27" s="1"/>
  <c r="AG47" i="27"/>
  <c r="AX47" i="27" s="1"/>
  <c r="AZ47" i="27" s="1"/>
  <c r="AG16" i="27"/>
  <c r="AX16" i="27" s="1"/>
  <c r="AZ16" i="27" s="1"/>
  <c r="AU107" i="27"/>
  <c r="AV107" i="27"/>
  <c r="AW107" i="27"/>
  <c r="AG8" i="27"/>
  <c r="AX8" i="27" s="1"/>
  <c r="AZ8" i="27" s="1"/>
  <c r="AG6" i="27"/>
  <c r="AX6" i="27" s="1"/>
  <c r="AZ6" i="27" s="1"/>
  <c r="AG7" i="27"/>
  <c r="AX7" i="27" s="1"/>
  <c r="AZ7" i="27" s="1"/>
  <c r="AG67" i="27"/>
  <c r="AX67" i="27" s="1"/>
  <c r="AZ67" i="27" s="1"/>
  <c r="AG95" i="27"/>
  <c r="AX95" i="27" s="1"/>
  <c r="AZ95" i="27" s="1"/>
  <c r="AU43" i="27"/>
  <c r="AU19" i="27"/>
  <c r="AV19" i="27"/>
  <c r="AW19" i="27"/>
  <c r="AX19" i="27"/>
  <c r="AZ19" i="27" s="1"/>
  <c r="AU16" i="27"/>
  <c r="AW13" i="27"/>
  <c r="AU13" i="27"/>
  <c r="AV13" i="27"/>
  <c r="AV21" i="27"/>
  <c r="AW21" i="27"/>
  <c r="AW14" i="27"/>
  <c r="AX14" i="27"/>
  <c r="AZ14" i="27" s="1"/>
  <c r="AE6" i="27"/>
  <c r="AD60" i="27"/>
  <c r="AD57" i="27"/>
  <c r="AU24" i="27"/>
  <c r="AV24" i="27"/>
  <c r="AX24" i="27"/>
  <c r="AZ24" i="27" s="1"/>
  <c r="BE22" i="27"/>
  <c r="AD8" i="27"/>
  <c r="AE42" i="27"/>
  <c r="AP38" i="27"/>
  <c r="AU64" i="27"/>
  <c r="AV64" i="27"/>
  <c r="AW64" i="27"/>
  <c r="BA64" i="27" s="1"/>
  <c r="AE18" i="27"/>
  <c r="AU7" i="27"/>
  <c r="AV7" i="27"/>
  <c r="AW7" i="27"/>
  <c r="BD48" i="27"/>
  <c r="BE46" i="27"/>
  <c r="BD59" i="27"/>
  <c r="AD55" i="27"/>
  <c r="AU38" i="27"/>
  <c r="AV36" i="27"/>
  <c r="AU27" i="27"/>
  <c r="AU11" i="27"/>
  <c r="AV11" i="27"/>
  <c r="AW11" i="27"/>
  <c r="AD13" i="27"/>
  <c r="AE13" i="27"/>
  <c r="AD56" i="27"/>
  <c r="AE56" i="27"/>
  <c r="AU36" i="27"/>
  <c r="AV23" i="27"/>
  <c r="AV72" i="27"/>
  <c r="AW72" i="27"/>
  <c r="BD60" i="27"/>
  <c r="AU44" i="27"/>
  <c r="AV44" i="27"/>
  <c r="AW44" i="27"/>
  <c r="BE42" i="27"/>
  <c r="AU28" i="27"/>
  <c r="AV28" i="27"/>
  <c r="AU48" i="27"/>
  <c r="AV43" i="27"/>
  <c r="AV27" i="27"/>
  <c r="AU9" i="27"/>
  <c r="AV73" i="27"/>
  <c r="AW73" i="27"/>
  <c r="AE72" i="27"/>
  <c r="AE35" i="27"/>
  <c r="AU6" i="27"/>
  <c r="AV6" i="27"/>
  <c r="AW6" i="27"/>
  <c r="AE60" i="27"/>
  <c r="AE57" i="27"/>
  <c r="AD54" i="27"/>
  <c r="AE31" i="27"/>
  <c r="AV10" i="27"/>
  <c r="BE62" i="27"/>
  <c r="AU15" i="27"/>
  <c r="AD61" i="27"/>
  <c r="AE61" i="27"/>
  <c r="BE58" i="27"/>
  <c r="BD57" i="27"/>
  <c r="BE34" i="27"/>
  <c r="AD26" i="27"/>
  <c r="BE10" i="27"/>
  <c r="AW62" i="27"/>
  <c r="AU18" i="27"/>
  <c r="AV18" i="27"/>
  <c r="AW18" i="27"/>
  <c r="AW49" i="27"/>
  <c r="AV8" i="27"/>
  <c r="AE47" i="27"/>
  <c r="AU39" i="27"/>
  <c r="AW38" i="27"/>
  <c r="AE11" i="27"/>
  <c r="AF97" i="27" l="1"/>
  <c r="AY96" i="27"/>
  <c r="BB96" i="27" s="1"/>
  <c r="AY99" i="27"/>
  <c r="AF39" i="27"/>
  <c r="AY72" i="27"/>
  <c r="AF25" i="27"/>
  <c r="AY27" i="27"/>
  <c r="AF7" i="27"/>
  <c r="BX7" i="27" s="1"/>
  <c r="AF93" i="27"/>
  <c r="BX93" i="27" s="1"/>
  <c r="AY75" i="27"/>
  <c r="BB75" i="27" s="1"/>
  <c r="AY37" i="27"/>
  <c r="AY92" i="27"/>
  <c r="AY39" i="27"/>
  <c r="BA5" i="27"/>
  <c r="BF5" i="27" s="1"/>
  <c r="AY55" i="27"/>
  <c r="AF55" i="27"/>
  <c r="BA76" i="27"/>
  <c r="AY100" i="27"/>
  <c r="BB100" i="27" s="1"/>
  <c r="BC100" i="27" s="1"/>
  <c r="BG100" i="27" s="1"/>
  <c r="BA95" i="27"/>
  <c r="BF95" i="27" s="1"/>
  <c r="AF100" i="27"/>
  <c r="BW100" i="27" s="1"/>
  <c r="AF19" i="27"/>
  <c r="BX19" i="27" s="1"/>
  <c r="AF78" i="27"/>
  <c r="BW78" i="27" s="1"/>
  <c r="AF11" i="27"/>
  <c r="BX11" i="27" s="1"/>
  <c r="AF17" i="27"/>
  <c r="BX17" i="27" s="1"/>
  <c r="AF29" i="27"/>
  <c r="BX29" i="27" s="1"/>
  <c r="AF45" i="27"/>
  <c r="BX45" i="27" s="1"/>
  <c r="AF109" i="27"/>
  <c r="BX109" i="27" s="1"/>
  <c r="AF73" i="27"/>
  <c r="BX73" i="27" s="1"/>
  <c r="AF22" i="27"/>
  <c r="BW22" i="27" s="1"/>
  <c r="AF12" i="27"/>
  <c r="BW12" i="27" s="1"/>
  <c r="AF6" i="27"/>
  <c r="BW6" i="27" s="1"/>
  <c r="BA109" i="27"/>
  <c r="BF109" i="27" s="1"/>
  <c r="AF85" i="27"/>
  <c r="BX85" i="27" s="1"/>
  <c r="AY17" i="27"/>
  <c r="BB17" i="27" s="1"/>
  <c r="BC17" i="27" s="1"/>
  <c r="AF66" i="27"/>
  <c r="BW66" i="27" s="1"/>
  <c r="BA34" i="27"/>
  <c r="AY106" i="27"/>
  <c r="BB106" i="27" s="1"/>
  <c r="BC106" i="27" s="1"/>
  <c r="BG106" i="27" s="1"/>
  <c r="AY93" i="27"/>
  <c r="AY29" i="27"/>
  <c r="BA74" i="27"/>
  <c r="AF91" i="27"/>
  <c r="BX91" i="27" s="1"/>
  <c r="AF106" i="27"/>
  <c r="BW106" i="27" s="1"/>
  <c r="AF26" i="27"/>
  <c r="BW26" i="27" s="1"/>
  <c r="AF14" i="27"/>
  <c r="BW14" i="27" s="1"/>
  <c r="AF47" i="27"/>
  <c r="BX47" i="27" s="1"/>
  <c r="AF48" i="27"/>
  <c r="BW48" i="27" s="1"/>
  <c r="AY45" i="27"/>
  <c r="BB45" i="27" s="1"/>
  <c r="BA58" i="27"/>
  <c r="AF82" i="27"/>
  <c r="BW82" i="27" s="1"/>
  <c r="BB79" i="27"/>
  <c r="BC79" i="27" s="1"/>
  <c r="BA37" i="27"/>
  <c r="BF37" i="27" s="1"/>
  <c r="AY5" i="27"/>
  <c r="BB5" i="27" s="1"/>
  <c r="AY40" i="27"/>
  <c r="BB40" i="27" s="1"/>
  <c r="BC40" i="27" s="1"/>
  <c r="BG40" i="27" s="1"/>
  <c r="BA32" i="27"/>
  <c r="BA43" i="27"/>
  <c r="BF43" i="27" s="1"/>
  <c r="AF108" i="27"/>
  <c r="BW108" i="27" s="1"/>
  <c r="AF71" i="27"/>
  <c r="BX71" i="27" s="1"/>
  <c r="AF96" i="27"/>
  <c r="BW96" i="27" s="1"/>
  <c r="AF70" i="27"/>
  <c r="AF99" i="27"/>
  <c r="BA60" i="27"/>
  <c r="AY6" i="27"/>
  <c r="BB6" i="27" s="1"/>
  <c r="BC6" i="27" s="1"/>
  <c r="BG6" i="27" s="1"/>
  <c r="AF58" i="27"/>
  <c r="BW58" i="27" s="1"/>
  <c r="BA85" i="27"/>
  <c r="BF85" i="27" s="1"/>
  <c r="AY10" i="27"/>
  <c r="BB10" i="27" s="1"/>
  <c r="BC10" i="27" s="1"/>
  <c r="BG10" i="27" s="1"/>
  <c r="AF21" i="27"/>
  <c r="BX21" i="27" s="1"/>
  <c r="BA57" i="27"/>
  <c r="BF57" i="27" s="1"/>
  <c r="BA30" i="27"/>
  <c r="AY66" i="27"/>
  <c r="BB66" i="27" s="1"/>
  <c r="AF8" i="27"/>
  <c r="BW8" i="27" s="1"/>
  <c r="BA89" i="27"/>
  <c r="BF89" i="27" s="1"/>
  <c r="AY110" i="27"/>
  <c r="BB110" i="27" s="1"/>
  <c r="BC110" i="27" s="1"/>
  <c r="BG110" i="27" s="1"/>
  <c r="AY61" i="27"/>
  <c r="BB61" i="27" s="1"/>
  <c r="BC61" i="27" s="1"/>
  <c r="AF107" i="27"/>
  <c r="BX107" i="27" s="1"/>
  <c r="BA10" i="27"/>
  <c r="BA23" i="27"/>
  <c r="BF23" i="27" s="1"/>
  <c r="AY111" i="27"/>
  <c r="BB111" i="27" s="1"/>
  <c r="BC111" i="27" s="1"/>
  <c r="AF94" i="27"/>
  <c r="BW94" i="27" s="1"/>
  <c r="BA42" i="27"/>
  <c r="AF64" i="27"/>
  <c r="BW64" i="27" s="1"/>
  <c r="AY9" i="27"/>
  <c r="BB9" i="27" s="1"/>
  <c r="BC9" i="27" s="1"/>
  <c r="AF40" i="27"/>
  <c r="BW40" i="27" s="1"/>
  <c r="BB92" i="27"/>
  <c r="BC92" i="27" s="1"/>
  <c r="BG92" i="27" s="1"/>
  <c r="BA12" i="27"/>
  <c r="BA104" i="27"/>
  <c r="AY109" i="27"/>
  <c r="BB109" i="27" s="1"/>
  <c r="BC109" i="27" s="1"/>
  <c r="BG109" i="27" s="1"/>
  <c r="BB27" i="27"/>
  <c r="BC27" i="27" s="1"/>
  <c r="BA62" i="27"/>
  <c r="BA36" i="27"/>
  <c r="BA9" i="27"/>
  <c r="BF9" i="27" s="1"/>
  <c r="AY98" i="27"/>
  <c r="BB98" i="27" s="1"/>
  <c r="BC98" i="27" s="1"/>
  <c r="BG98" i="27" s="1"/>
  <c r="AF63" i="27"/>
  <c r="BX63" i="27" s="1"/>
  <c r="AY25" i="27"/>
  <c r="BB25" i="27" s="1"/>
  <c r="BB99" i="27"/>
  <c r="BC99" i="27" s="1"/>
  <c r="AF76" i="27"/>
  <c r="BW76" i="27" s="1"/>
  <c r="AY20" i="27"/>
  <c r="BB20" i="27" s="1"/>
  <c r="BA75" i="27"/>
  <c r="BF75" i="27" s="1"/>
  <c r="BA110" i="27"/>
  <c r="AY78" i="27"/>
  <c r="BB78" i="27" s="1"/>
  <c r="BC78" i="27" s="1"/>
  <c r="BG78" i="27" s="1"/>
  <c r="AZ93" i="27"/>
  <c r="BA93" i="27"/>
  <c r="BF93" i="27" s="1"/>
  <c r="BB71" i="27"/>
  <c r="BC71" i="27" s="1"/>
  <c r="AF80" i="27"/>
  <c r="BW80" i="27" s="1"/>
  <c r="AF28" i="27"/>
  <c r="BW28" i="27" s="1"/>
  <c r="AY26" i="27"/>
  <c r="BB26" i="27" s="1"/>
  <c r="BC26" i="27" s="1"/>
  <c r="BG26" i="27" s="1"/>
  <c r="BA44" i="27"/>
  <c r="AF98" i="27"/>
  <c r="BW98" i="27" s="1"/>
  <c r="BA99" i="27"/>
  <c r="BF99" i="27" s="1"/>
  <c r="AF52" i="27"/>
  <c r="BW52" i="27" s="1"/>
  <c r="BA105" i="27"/>
  <c r="BF105" i="27" s="1"/>
  <c r="BB29" i="27"/>
  <c r="BC29" i="27" s="1"/>
  <c r="AF35" i="27"/>
  <c r="BX35" i="27" s="1"/>
  <c r="AY105" i="27"/>
  <c r="BB105" i="27" s="1"/>
  <c r="BC105" i="27" s="1"/>
  <c r="BG105" i="27" s="1"/>
  <c r="BA65" i="27"/>
  <c r="BF65" i="27" s="1"/>
  <c r="B35" i="26"/>
  <c r="AY23" i="27"/>
  <c r="BB23" i="27" s="1"/>
  <c r="BA83" i="27"/>
  <c r="BF83" i="27" s="1"/>
  <c r="BA79" i="27"/>
  <c r="BF79" i="27" s="1"/>
  <c r="BA103" i="27"/>
  <c r="BF103" i="27" s="1"/>
  <c r="BA8" i="27"/>
  <c r="BA112" i="27"/>
  <c r="BA56" i="27"/>
  <c r="L84" i="29"/>
  <c r="AY85" i="27"/>
  <c r="BB85" i="27" s="1"/>
  <c r="BC85" i="27" s="1"/>
  <c r="BA77" i="27"/>
  <c r="BF77" i="27" s="1"/>
  <c r="BA22" i="27"/>
  <c r="BA40" i="27"/>
  <c r="AY57" i="27"/>
  <c r="BB57" i="27" s="1"/>
  <c r="AY41" i="27"/>
  <c r="BB41" i="27" s="1"/>
  <c r="BC41" i="27" s="1"/>
  <c r="BA48" i="27"/>
  <c r="AF53" i="27"/>
  <c r="BX53" i="27" s="1"/>
  <c r="AY58" i="27"/>
  <c r="BB58" i="27" s="1"/>
  <c r="BC58" i="27" s="1"/>
  <c r="BG58" i="27" s="1"/>
  <c r="AY16" i="27"/>
  <c r="BB16" i="27" s="1"/>
  <c r="AY68" i="27"/>
  <c r="BB68" i="27" s="1"/>
  <c r="BC68" i="27" s="1"/>
  <c r="BG68" i="27" s="1"/>
  <c r="BJ68" i="27" s="1"/>
  <c r="BA78" i="27"/>
  <c r="AF62" i="27"/>
  <c r="BW62" i="27" s="1"/>
  <c r="BA38" i="27"/>
  <c r="AY84" i="27"/>
  <c r="BB84" i="27" s="1"/>
  <c r="BC84" i="27" s="1"/>
  <c r="BG84" i="27" s="1"/>
  <c r="BJ84" i="27" s="1"/>
  <c r="AY73" i="27"/>
  <c r="BB73" i="27" s="1"/>
  <c r="BC73" i="27" s="1"/>
  <c r="BA52" i="27"/>
  <c r="AY63" i="27"/>
  <c r="BB63" i="27" s="1"/>
  <c r="BC63" i="27" s="1"/>
  <c r="BA7" i="27"/>
  <c r="BF7" i="27" s="1"/>
  <c r="AY8" i="27"/>
  <c r="BB8" i="27" s="1"/>
  <c r="BC8" i="27" s="1"/>
  <c r="BG8" i="27" s="1"/>
  <c r="BA87" i="27"/>
  <c r="BF87" i="27" s="1"/>
  <c r="BA33" i="27"/>
  <c r="BF33" i="27" s="1"/>
  <c r="AF33" i="27"/>
  <c r="BX33" i="27" s="1"/>
  <c r="AF54" i="27"/>
  <c r="BW54" i="27" s="1"/>
  <c r="BA6" i="27"/>
  <c r="AY43" i="27"/>
  <c r="BB43" i="27" s="1"/>
  <c r="BC43" i="27" s="1"/>
  <c r="AY86" i="27"/>
  <c r="BB86" i="27" s="1"/>
  <c r="BC86" i="27" s="1"/>
  <c r="BG86" i="27" s="1"/>
  <c r="BA84" i="27"/>
  <c r="AY47" i="27"/>
  <c r="BB47" i="27" s="1"/>
  <c r="BA96" i="27"/>
  <c r="BA24" i="27"/>
  <c r="AY101" i="27"/>
  <c r="BB101" i="27" s="1"/>
  <c r="BC101" i="27" s="1"/>
  <c r="AY49" i="27"/>
  <c r="BB49" i="27" s="1"/>
  <c r="AY35" i="27"/>
  <c r="BB35" i="27" s="1"/>
  <c r="AF41" i="27"/>
  <c r="BX41" i="27" s="1"/>
  <c r="AY74" i="27"/>
  <c r="BB74" i="27" s="1"/>
  <c r="BC74" i="27" s="1"/>
  <c r="BG74" i="27" s="1"/>
  <c r="BA111" i="27"/>
  <c r="BF111" i="27" s="1"/>
  <c r="AF36" i="27"/>
  <c r="BW36" i="27" s="1"/>
  <c r="BA82" i="27"/>
  <c r="AY36" i="27"/>
  <c r="BB36" i="27" s="1"/>
  <c r="BC36" i="27" s="1"/>
  <c r="BG36" i="27" s="1"/>
  <c r="AY97" i="27"/>
  <c r="BB97" i="27" s="1"/>
  <c r="BA80" i="27"/>
  <c r="BB39" i="27"/>
  <c r="BC39" i="27" s="1"/>
  <c r="AY87" i="27"/>
  <c r="BB87" i="27" s="1"/>
  <c r="BC87" i="27" s="1"/>
  <c r="AZ55" i="27"/>
  <c r="BA55" i="27"/>
  <c r="BF55" i="27" s="1"/>
  <c r="AZ15" i="27"/>
  <c r="BA15" i="27"/>
  <c r="BF15" i="27" s="1"/>
  <c r="BX89" i="27"/>
  <c r="AF65" i="27"/>
  <c r="BA97" i="27"/>
  <c r="BF97" i="27" s="1"/>
  <c r="AF24" i="27"/>
  <c r="AY82" i="27"/>
  <c r="BB82" i="27" s="1"/>
  <c r="AY65" i="27"/>
  <c r="BB65" i="27" s="1"/>
  <c r="BX75" i="27"/>
  <c r="AY50" i="27"/>
  <c r="BB50" i="27" s="1"/>
  <c r="BW84" i="27"/>
  <c r="AY91" i="27"/>
  <c r="BB91" i="27" s="1"/>
  <c r="BA50" i="27"/>
  <c r="BA90" i="27"/>
  <c r="AY69" i="27"/>
  <c r="BB69" i="27" s="1"/>
  <c r="BC5" i="27"/>
  <c r="BG5" i="27" s="1"/>
  <c r="BW90" i="27"/>
  <c r="BA53" i="27"/>
  <c r="BF53" i="27" s="1"/>
  <c r="L85" i="29"/>
  <c r="BA102" i="27"/>
  <c r="BW74" i="27"/>
  <c r="BA25" i="27"/>
  <c r="BF25" i="27" s="1"/>
  <c r="AY112" i="27"/>
  <c r="BB112" i="27" s="1"/>
  <c r="AF61" i="27"/>
  <c r="BA11" i="27"/>
  <c r="BF11" i="27" s="1"/>
  <c r="BA13" i="27"/>
  <c r="BF13" i="27" s="1"/>
  <c r="BA67" i="27"/>
  <c r="BF67" i="27" s="1"/>
  <c r="BA41" i="27"/>
  <c r="BF41" i="27" s="1"/>
  <c r="BA108" i="27"/>
  <c r="L83" i="29"/>
  <c r="BX111" i="27"/>
  <c r="BX9" i="27"/>
  <c r="AY22" i="27"/>
  <c r="BB22" i="27" s="1"/>
  <c r="BW70" i="27"/>
  <c r="BX99" i="27"/>
  <c r="BA27" i="27"/>
  <c r="BF27" i="27" s="1"/>
  <c r="AY64" i="27"/>
  <c r="BB64" i="27" s="1"/>
  <c r="BA31" i="27"/>
  <c r="BF31" i="27" s="1"/>
  <c r="AY108" i="27"/>
  <c r="BB108" i="27" s="1"/>
  <c r="BX97" i="27"/>
  <c r="BW32" i="27"/>
  <c r="AY77" i="27"/>
  <c r="BB77" i="27" s="1"/>
  <c r="AY11" i="27"/>
  <c r="BB11" i="27" s="1"/>
  <c r="AY52" i="27"/>
  <c r="BB52" i="27" s="1"/>
  <c r="AF27" i="27"/>
  <c r="AY76" i="27"/>
  <c r="BB76" i="27" s="1"/>
  <c r="BA29" i="27"/>
  <c r="BF29" i="27" s="1"/>
  <c r="AF43" i="27"/>
  <c r="AF18" i="27"/>
  <c r="AF31" i="27"/>
  <c r="BW112" i="27"/>
  <c r="AY15" i="27"/>
  <c r="BB15" i="27" s="1"/>
  <c r="AY48" i="27"/>
  <c r="BB48" i="27" s="1"/>
  <c r="BA19" i="27"/>
  <c r="BF19" i="27" s="1"/>
  <c r="BA66" i="27"/>
  <c r="BA51" i="27"/>
  <c r="BF51" i="27" s="1"/>
  <c r="AF23" i="27"/>
  <c r="AF110" i="27"/>
  <c r="AF77" i="27"/>
  <c r="AY13" i="27"/>
  <c r="BB13" i="27" s="1"/>
  <c r="BA17" i="27"/>
  <c r="BF17" i="27" s="1"/>
  <c r="BA14" i="27"/>
  <c r="BA73" i="27"/>
  <c r="BF73" i="27" s="1"/>
  <c r="BB72" i="27"/>
  <c r="AF13" i="27"/>
  <c r="BA69" i="27"/>
  <c r="BF69" i="27" s="1"/>
  <c r="AY62" i="27"/>
  <c r="BB62" i="27" s="1"/>
  <c r="BX67" i="27"/>
  <c r="AY56" i="27"/>
  <c r="BB56" i="27" s="1"/>
  <c r="AY89" i="27"/>
  <c r="BB89" i="27" s="1"/>
  <c r="AF101" i="27"/>
  <c r="AY67" i="27"/>
  <c r="BB67" i="27" s="1"/>
  <c r="BA91" i="27"/>
  <c r="BF91" i="27" s="1"/>
  <c r="AY33" i="27"/>
  <c r="BB33" i="27" s="1"/>
  <c r="AF20" i="27"/>
  <c r="BX49" i="27"/>
  <c r="BC96" i="27"/>
  <c r="BG96" i="27" s="1"/>
  <c r="BA21" i="27"/>
  <c r="BF21" i="27" s="1"/>
  <c r="AF56" i="27"/>
  <c r="AF104" i="27"/>
  <c r="AF79" i="27"/>
  <c r="AY21" i="27"/>
  <c r="BB21" i="27" s="1"/>
  <c r="BX39" i="27"/>
  <c r="AY38" i="27"/>
  <c r="BB38" i="27" s="1"/>
  <c r="AF30" i="27"/>
  <c r="AF88" i="27"/>
  <c r="AY95" i="27"/>
  <c r="BB95" i="27" s="1"/>
  <c r="P103" i="29"/>
  <c r="AF69" i="27"/>
  <c r="BW46" i="27"/>
  <c r="BI8" i="27"/>
  <c r="BI20" i="27"/>
  <c r="BI32" i="27"/>
  <c r="BI44" i="27"/>
  <c r="BI56" i="27"/>
  <c r="BI34" i="27"/>
  <c r="BI36" i="27"/>
  <c r="BI42" i="27"/>
  <c r="BI18" i="27"/>
  <c r="BI30" i="27"/>
  <c r="BI12" i="27"/>
  <c r="BI80" i="27"/>
  <c r="BI6" i="27"/>
  <c r="BI84" i="27"/>
  <c r="BI100" i="27"/>
  <c r="BI112" i="27"/>
  <c r="BI28" i="27"/>
  <c r="BI54" i="27"/>
  <c r="BI86" i="27"/>
  <c r="BI66" i="27"/>
  <c r="BI88" i="27"/>
  <c r="BI22" i="27"/>
  <c r="BI14" i="27"/>
  <c r="BI52" i="27"/>
  <c r="BI16" i="27"/>
  <c r="BI26" i="27"/>
  <c r="BI10" i="27"/>
  <c r="BI40" i="27"/>
  <c r="BI72" i="27"/>
  <c r="BI70" i="27"/>
  <c r="BI108" i="27"/>
  <c r="BI62" i="27"/>
  <c r="BI68" i="27"/>
  <c r="BI58" i="27"/>
  <c r="BI64" i="27"/>
  <c r="BI94" i="27"/>
  <c r="BI60" i="27"/>
  <c r="BI50" i="27"/>
  <c r="BI98" i="27"/>
  <c r="BI96" i="27"/>
  <c r="BI48" i="27"/>
  <c r="BI24" i="27"/>
  <c r="BI74" i="27"/>
  <c r="BI110" i="27"/>
  <c r="BI46" i="27"/>
  <c r="BI38" i="27"/>
  <c r="BI104" i="27"/>
  <c r="BI76" i="27"/>
  <c r="BI102" i="27"/>
  <c r="BI82" i="27"/>
  <c r="BI90" i="27"/>
  <c r="BI78" i="27"/>
  <c r="BI106" i="27"/>
  <c r="BI92" i="27"/>
  <c r="AY90" i="27"/>
  <c r="BB90" i="27" s="1"/>
  <c r="AY88" i="27"/>
  <c r="BB88" i="27" s="1"/>
  <c r="AY31" i="27"/>
  <c r="BB31" i="27" s="1"/>
  <c r="AY83" i="27"/>
  <c r="BB83" i="27" s="1"/>
  <c r="BA49" i="27"/>
  <c r="BF49" i="27" s="1"/>
  <c r="BA35" i="27"/>
  <c r="BF35" i="27" s="1"/>
  <c r="AY94" i="27"/>
  <c r="BB94" i="27" s="1"/>
  <c r="BX25" i="27"/>
  <c r="AF57" i="27"/>
  <c r="AY30" i="27"/>
  <c r="BB30" i="27" s="1"/>
  <c r="BA70" i="27"/>
  <c r="AF42" i="27"/>
  <c r="BB37" i="27"/>
  <c r="BA45" i="27"/>
  <c r="BF45" i="27" s="1"/>
  <c r="BA39" i="27"/>
  <c r="BF39" i="27" s="1"/>
  <c r="BA100" i="27"/>
  <c r="BX15" i="27"/>
  <c r="AY80" i="27"/>
  <c r="BB80" i="27" s="1"/>
  <c r="AF102" i="27"/>
  <c r="BA98" i="27"/>
  <c r="AY107" i="27"/>
  <c r="BB107" i="27" s="1"/>
  <c r="AY7" i="27"/>
  <c r="BB7" i="27" s="1"/>
  <c r="AY34" i="27"/>
  <c r="BB34" i="27" s="1"/>
  <c r="BA94" i="27"/>
  <c r="AY103" i="27"/>
  <c r="BB103" i="27" s="1"/>
  <c r="BA92" i="27"/>
  <c r="AY59" i="27"/>
  <c r="BB59" i="27" s="1"/>
  <c r="BA28" i="27"/>
  <c r="AY28" i="27"/>
  <c r="BB28" i="27" s="1"/>
  <c r="AY19" i="27"/>
  <c r="BB19" i="27" s="1"/>
  <c r="AF51" i="27"/>
  <c r="AF92" i="27"/>
  <c r="BA54" i="27"/>
  <c r="BA86" i="27"/>
  <c r="P104" i="29"/>
  <c r="AF44" i="27"/>
  <c r="AY104" i="27"/>
  <c r="BB104" i="27" s="1"/>
  <c r="AY32" i="27"/>
  <c r="BB32" i="27" s="1"/>
  <c r="BA18" i="27"/>
  <c r="AF60" i="27"/>
  <c r="AY70" i="27"/>
  <c r="BB70" i="27" s="1"/>
  <c r="AY102" i="27"/>
  <c r="BB102" i="27" s="1"/>
  <c r="BA46" i="27"/>
  <c r="AF103" i="27"/>
  <c r="P102" i="29"/>
  <c r="BW34" i="27"/>
  <c r="AF68" i="27"/>
  <c r="AY60" i="27"/>
  <c r="BB60" i="27" s="1"/>
  <c r="BA61" i="27"/>
  <c r="BF61" i="27" s="1"/>
  <c r="BA59" i="27"/>
  <c r="BF59" i="27" s="1"/>
  <c r="BA47" i="27"/>
  <c r="BF47" i="27" s="1"/>
  <c r="AY51" i="27"/>
  <c r="BB51" i="27" s="1"/>
  <c r="BA68" i="27"/>
  <c r="BW50" i="27"/>
  <c r="BA71" i="27"/>
  <c r="BF71" i="27" s="1"/>
  <c r="AF10" i="27"/>
  <c r="AY42" i="27"/>
  <c r="BB42" i="27" s="1"/>
  <c r="AY81" i="27"/>
  <c r="BB81" i="27" s="1"/>
  <c r="BX55" i="27"/>
  <c r="AY12" i="27"/>
  <c r="BB12" i="27" s="1"/>
  <c r="AY54" i="27"/>
  <c r="BB54" i="27" s="1"/>
  <c r="BA81" i="27"/>
  <c r="BF81" i="27" s="1"/>
  <c r="AY44" i="27"/>
  <c r="BB44" i="27" s="1"/>
  <c r="AF72" i="27"/>
  <c r="BA16" i="27"/>
  <c r="AY14" i="27"/>
  <c r="BB14" i="27" s="1"/>
  <c r="BA26" i="27"/>
  <c r="L104" i="29"/>
  <c r="L103" i="29"/>
  <c r="L102" i="29"/>
  <c r="AF5" i="27"/>
  <c r="AY24" i="27"/>
  <c r="BB24" i="27" s="1"/>
  <c r="BA72" i="27"/>
  <c r="AY18" i="27"/>
  <c r="BB18" i="27" s="1"/>
  <c r="N83" i="29"/>
  <c r="N84" i="29"/>
  <c r="N85" i="29"/>
  <c r="BA107" i="27"/>
  <c r="BF107" i="27" s="1"/>
  <c r="BA20" i="27"/>
  <c r="AY53" i="27"/>
  <c r="BB53" i="27" s="1"/>
  <c r="BA63" i="27"/>
  <c r="BF63" i="27" s="1"/>
  <c r="AF83" i="27"/>
  <c r="AY46" i="27"/>
  <c r="BB46" i="27" s="1"/>
  <c r="AF59" i="27"/>
  <c r="BA106" i="27"/>
  <c r="BI7" i="27"/>
  <c r="BI31" i="27"/>
  <c r="BI33" i="27"/>
  <c r="BI35" i="27"/>
  <c r="BI49" i="27"/>
  <c r="BI19" i="27"/>
  <c r="BI13" i="27"/>
  <c r="BI15" i="27"/>
  <c r="BI23" i="27"/>
  <c r="BI61" i="27"/>
  <c r="BI63" i="27"/>
  <c r="BI57" i="27"/>
  <c r="BI73" i="27"/>
  <c r="BI85" i="27"/>
  <c r="BI87" i="27"/>
  <c r="BI41" i="27"/>
  <c r="BI101" i="27"/>
  <c r="BI11" i="27"/>
  <c r="BI9" i="27"/>
  <c r="BI45" i="27"/>
  <c r="BI55" i="27"/>
  <c r="BI29" i="27"/>
  <c r="BI21" i="27"/>
  <c r="BI109" i="27"/>
  <c r="BI25" i="27"/>
  <c r="BI95" i="27"/>
  <c r="BI5" i="27"/>
  <c r="BI75" i="27"/>
  <c r="BI107" i="27"/>
  <c r="BI17" i="27"/>
  <c r="BI59" i="27"/>
  <c r="BI93" i="27"/>
  <c r="BI77" i="27"/>
  <c r="BI69" i="27"/>
  <c r="BI103" i="27"/>
  <c r="BI27" i="27"/>
  <c r="BI65" i="27"/>
  <c r="BI67" i="27"/>
  <c r="BI71" i="27"/>
  <c r="BI37" i="27"/>
  <c r="BI39" i="27"/>
  <c r="BI99" i="27"/>
  <c r="BI89" i="27"/>
  <c r="BI97" i="27"/>
  <c r="BI81" i="27"/>
  <c r="BI47" i="27"/>
  <c r="BI43" i="27"/>
  <c r="BI91" i="27"/>
  <c r="BI105" i="27"/>
  <c r="BI111" i="27"/>
  <c r="BI83" i="27"/>
  <c r="BI53" i="27"/>
  <c r="BI79" i="27"/>
  <c r="BI51" i="27"/>
  <c r="BA101" i="27"/>
  <c r="BF101" i="27" s="1"/>
  <c r="BX105" i="27"/>
  <c r="BB55" i="27" l="1"/>
  <c r="BB93" i="27"/>
  <c r="BC93" i="27" s="1"/>
  <c r="BG93" i="27" s="1"/>
  <c r="BJ93" i="27" s="1"/>
  <c r="BJ78" i="27"/>
  <c r="BQ78" i="27" s="1"/>
  <c r="BJ40" i="27"/>
  <c r="BG61" i="27"/>
  <c r="BJ74" i="27"/>
  <c r="BJ61" i="27"/>
  <c r="BQ61" i="27" s="1"/>
  <c r="BG87" i="27"/>
  <c r="BJ87" i="27" s="1"/>
  <c r="BG43" i="27"/>
  <c r="BG9" i="27"/>
  <c r="BJ9" i="27" s="1"/>
  <c r="BQ9" i="27" s="1"/>
  <c r="BG85" i="27"/>
  <c r="BJ85" i="27" s="1"/>
  <c r="BQ85" i="27" s="1"/>
  <c r="BJ10" i="27"/>
  <c r="BQ10" i="27" s="1"/>
  <c r="BJ36" i="27"/>
  <c r="BK36" i="27" s="1"/>
  <c r="BQ68" i="27"/>
  <c r="BG101" i="27"/>
  <c r="BJ101" i="27" s="1"/>
  <c r="BQ101" i="27" s="1"/>
  <c r="BJ58" i="27"/>
  <c r="BQ58" i="27" s="1"/>
  <c r="BG41" i="27"/>
  <c r="BJ41" i="27" s="1"/>
  <c r="BQ41" i="27" s="1"/>
  <c r="BQ74" i="27"/>
  <c r="BQ36" i="27"/>
  <c r="BG111" i="27"/>
  <c r="BJ111" i="27" s="1"/>
  <c r="M21" i="29"/>
  <c r="M61" i="29" s="1"/>
  <c r="Z62" i="29" s="1"/>
  <c r="BG27" i="27"/>
  <c r="BJ27" i="27" s="1"/>
  <c r="BN27" i="27" s="1"/>
  <c r="BW27" i="27" s="1"/>
  <c r="M30" i="29"/>
  <c r="BJ100" i="27"/>
  <c r="BQ100" i="27" s="1"/>
  <c r="BQ84" i="27"/>
  <c r="BG39" i="27"/>
  <c r="BJ39" i="27" s="1"/>
  <c r="BN39" i="27" s="1"/>
  <c r="BW39" i="27" s="1"/>
  <c r="BG79" i="27"/>
  <c r="BJ79" i="27" s="1"/>
  <c r="BQ79" i="27" s="1"/>
  <c r="BJ26" i="27"/>
  <c r="BQ26" i="27" s="1"/>
  <c r="BG99" i="27"/>
  <c r="BJ99" i="27" s="1"/>
  <c r="BC55" i="27"/>
  <c r="BG55" i="27" s="1"/>
  <c r="BJ55" i="27" s="1"/>
  <c r="BC30" i="27"/>
  <c r="BG30" i="27" s="1"/>
  <c r="BJ30" i="27" s="1"/>
  <c r="BQ30" i="27"/>
  <c r="BC72" i="27"/>
  <c r="BG72" i="27" s="1"/>
  <c r="BJ72" i="27" s="1"/>
  <c r="BQ72" i="27" s="1"/>
  <c r="BC23" i="27"/>
  <c r="BG23" i="27" s="1"/>
  <c r="BJ23" i="27" s="1"/>
  <c r="BQ23" i="27" s="1"/>
  <c r="BC22" i="27"/>
  <c r="BG22" i="27" s="1"/>
  <c r="BJ22" i="27" s="1"/>
  <c r="BQ22" i="27" s="1"/>
  <c r="BN9" i="27"/>
  <c r="BW9" i="27" s="1"/>
  <c r="BK9" i="27"/>
  <c r="BM9" i="27"/>
  <c r="BO9" i="27"/>
  <c r="BX59" i="27"/>
  <c r="BN78" i="27"/>
  <c r="BX78" i="27" s="1"/>
  <c r="BK78" i="27"/>
  <c r="BL78" i="27"/>
  <c r="BO78" i="27"/>
  <c r="BX57" i="27"/>
  <c r="BK84" i="27"/>
  <c r="BL84" i="27"/>
  <c r="BO84" i="27"/>
  <c r="BN84" i="27"/>
  <c r="BX84" i="27" s="1"/>
  <c r="BX27" i="27"/>
  <c r="BC81" i="27"/>
  <c r="BG81" i="27" s="1"/>
  <c r="BJ81" i="27" s="1"/>
  <c r="BC45" i="27"/>
  <c r="BG45" i="27" s="1"/>
  <c r="BJ45" i="27" s="1"/>
  <c r="BQ45" i="27" s="1"/>
  <c r="BC34" i="27"/>
  <c r="BG34" i="27" s="1"/>
  <c r="BJ34" i="27" s="1"/>
  <c r="BC94" i="27"/>
  <c r="BG94" i="27" s="1"/>
  <c r="BJ94" i="27" s="1"/>
  <c r="BW110" i="27"/>
  <c r="BC11" i="27"/>
  <c r="BG11" i="27" s="1"/>
  <c r="BJ11" i="27" s="1"/>
  <c r="BQ11" i="27"/>
  <c r="BN93" i="27"/>
  <c r="BW93" i="27" s="1"/>
  <c r="BK93" i="27"/>
  <c r="BM93" i="27"/>
  <c r="BO93" i="27"/>
  <c r="BQ93" i="27"/>
  <c r="BL58" i="27"/>
  <c r="BO58" i="27"/>
  <c r="BC25" i="27"/>
  <c r="BG25" i="27" s="1"/>
  <c r="BJ25" i="27" s="1"/>
  <c r="BQ25" i="27" s="1"/>
  <c r="BC21" i="27"/>
  <c r="BG21" i="27" s="1"/>
  <c r="BJ21" i="27" s="1"/>
  <c r="BQ21" i="27" s="1"/>
  <c r="BW42" i="27"/>
  <c r="BC53" i="27"/>
  <c r="BG53" i="27" s="1"/>
  <c r="BJ53" i="27" s="1"/>
  <c r="BC7" i="27"/>
  <c r="BG7" i="27" s="1"/>
  <c r="BJ7" i="27" s="1"/>
  <c r="BQ7" i="27" s="1"/>
  <c r="BW20" i="27"/>
  <c r="BC13" i="27"/>
  <c r="BG13" i="27" s="1"/>
  <c r="BJ13" i="27" s="1"/>
  <c r="BQ13" i="27" s="1"/>
  <c r="BJ109" i="27"/>
  <c r="BW92" i="27"/>
  <c r="BC33" i="27"/>
  <c r="BG33" i="27" s="1"/>
  <c r="BJ33" i="27" s="1"/>
  <c r="BQ33" i="27" s="1"/>
  <c r="BC50" i="27"/>
  <c r="BG50" i="27" s="1"/>
  <c r="BJ50" i="27" s="1"/>
  <c r="BQ50" i="27" s="1"/>
  <c r="BG29" i="27"/>
  <c r="BJ29" i="27" s="1"/>
  <c r="BC76" i="27"/>
  <c r="BG76" i="27" s="1"/>
  <c r="BJ76" i="27" s="1"/>
  <c r="BC59" i="27"/>
  <c r="BG59" i="27" s="1"/>
  <c r="BJ59" i="27" s="1"/>
  <c r="BQ59" i="27"/>
  <c r="BC57" i="27"/>
  <c r="BG57" i="27" s="1"/>
  <c r="BJ57" i="27" s="1"/>
  <c r="BQ57" i="27" s="1"/>
  <c r="BC20" i="27"/>
  <c r="BG20" i="27" s="1"/>
  <c r="BJ20" i="27" s="1"/>
  <c r="BC35" i="27"/>
  <c r="BG35" i="27" s="1"/>
  <c r="BJ35" i="27" s="1"/>
  <c r="BQ35" i="27" s="1"/>
  <c r="BC91" i="27"/>
  <c r="BG91" i="27" s="1"/>
  <c r="BJ91" i="27" s="1"/>
  <c r="BQ91" i="27" s="1"/>
  <c r="BC60" i="27"/>
  <c r="BG60" i="27" s="1"/>
  <c r="BJ60" i="27" s="1"/>
  <c r="BQ60" i="27" s="1"/>
  <c r="BW68" i="27"/>
  <c r="BC83" i="27"/>
  <c r="BG83" i="27" s="1"/>
  <c r="BJ83" i="27" s="1"/>
  <c r="BQ83" i="27"/>
  <c r="BX79" i="27"/>
  <c r="BJ92" i="27"/>
  <c r="BX23" i="27"/>
  <c r="BC77" i="27"/>
  <c r="BG77" i="27" s="1"/>
  <c r="BJ77" i="27" s="1"/>
  <c r="BJ6" i="27"/>
  <c r="BC37" i="27"/>
  <c r="BG37" i="27" s="1"/>
  <c r="BJ37" i="27" s="1"/>
  <c r="BQ37" i="27" s="1"/>
  <c r="BX13" i="27"/>
  <c r="BC31" i="27"/>
  <c r="BG31" i="27" s="1"/>
  <c r="BJ31" i="27" s="1"/>
  <c r="BQ31" i="27" s="1"/>
  <c r="BW88" i="27"/>
  <c r="BG63" i="27"/>
  <c r="BJ63" i="27" s="1"/>
  <c r="BJ105" i="27"/>
  <c r="BW30" i="27"/>
  <c r="BL40" i="27"/>
  <c r="BN40" i="27"/>
  <c r="BX40" i="27" s="1"/>
  <c r="BK40" i="27"/>
  <c r="BO40" i="27"/>
  <c r="BJ86" i="27"/>
  <c r="BN61" i="27"/>
  <c r="BW61" i="27" s="1"/>
  <c r="BM61" i="27"/>
  <c r="BK61" i="27"/>
  <c r="BO61" i="27"/>
  <c r="BX83" i="27"/>
  <c r="BC107" i="27"/>
  <c r="BG107" i="27" s="1"/>
  <c r="BJ107" i="27" s="1"/>
  <c r="BW104" i="27"/>
  <c r="BC67" i="27"/>
  <c r="BG67" i="27" s="1"/>
  <c r="BJ67" i="27" s="1"/>
  <c r="BQ67" i="27" s="1"/>
  <c r="BQ40" i="27"/>
  <c r="BN68" i="27"/>
  <c r="BX68" i="27" s="1"/>
  <c r="BK68" i="27"/>
  <c r="BL68" i="27"/>
  <c r="BO68" i="27"/>
  <c r="BC104" i="27"/>
  <c r="BG104" i="27" s="1"/>
  <c r="BJ104" i="27" s="1"/>
  <c r="BQ104" i="27" s="1"/>
  <c r="BC42" i="27"/>
  <c r="BG42" i="27" s="1"/>
  <c r="BJ42" i="27" s="1"/>
  <c r="BQ42" i="27"/>
  <c r="M32" i="29"/>
  <c r="BL74" i="27"/>
  <c r="BK74" i="27"/>
  <c r="BN74" i="27"/>
  <c r="BX74" i="27" s="1"/>
  <c r="BO74" i="27"/>
  <c r="M31" i="29"/>
  <c r="BW10" i="27"/>
  <c r="BC82" i="27"/>
  <c r="BG82" i="27" s="1"/>
  <c r="BJ82" i="27" s="1"/>
  <c r="BQ82" i="27"/>
  <c r="BC49" i="27"/>
  <c r="BG49" i="27" s="1"/>
  <c r="BJ49" i="27" s="1"/>
  <c r="BQ49" i="27" s="1"/>
  <c r="BC62" i="27"/>
  <c r="BG62" i="27" s="1"/>
  <c r="BJ62" i="27" s="1"/>
  <c r="BC46" i="27"/>
  <c r="BG46" i="27" s="1"/>
  <c r="BJ46" i="27" s="1"/>
  <c r="BQ46" i="27"/>
  <c r="BX103" i="27"/>
  <c r="BJ8" i="27"/>
  <c r="BW56" i="27"/>
  <c r="BC14" i="27"/>
  <c r="BG14" i="27" s="1"/>
  <c r="BJ14" i="27" s="1"/>
  <c r="BQ14" i="27" s="1"/>
  <c r="BC47" i="27"/>
  <c r="BG47" i="27" s="1"/>
  <c r="BJ47" i="27" s="1"/>
  <c r="BQ47" i="27"/>
  <c r="BC38" i="27"/>
  <c r="BG38" i="27" s="1"/>
  <c r="BJ38" i="27" s="1"/>
  <c r="BQ38" i="27" s="1"/>
  <c r="BC48" i="27"/>
  <c r="BG48" i="27" s="1"/>
  <c r="BJ48" i="27" s="1"/>
  <c r="BQ48" i="27"/>
  <c r="BC15" i="27"/>
  <c r="BG15" i="27" s="1"/>
  <c r="BJ15" i="27" s="1"/>
  <c r="BQ15" i="27" s="1"/>
  <c r="BC52" i="27"/>
  <c r="BG52" i="27" s="1"/>
  <c r="BJ52" i="27" s="1"/>
  <c r="BQ52" i="27" s="1"/>
  <c r="BC95" i="27"/>
  <c r="BG95" i="27" s="1"/>
  <c r="BJ95" i="27" s="1"/>
  <c r="BQ95" i="27"/>
  <c r="BW102" i="27"/>
  <c r="BC75" i="27"/>
  <c r="BG75" i="27" s="1"/>
  <c r="BJ75" i="27" s="1"/>
  <c r="BQ75" i="27" s="1"/>
  <c r="BJ43" i="27"/>
  <c r="BX77" i="27"/>
  <c r="BC102" i="27"/>
  <c r="BG102" i="27" s="1"/>
  <c r="BJ102" i="27" s="1"/>
  <c r="BX101" i="27"/>
  <c r="BC70" i="27"/>
  <c r="BG70" i="27" s="1"/>
  <c r="BJ70" i="27" s="1"/>
  <c r="BQ70" i="27"/>
  <c r="BC90" i="27"/>
  <c r="BG90" i="27" s="1"/>
  <c r="BJ90" i="27" s="1"/>
  <c r="BQ90" i="27" s="1"/>
  <c r="BO10" i="27"/>
  <c r="BC51" i="27"/>
  <c r="BG51" i="27" s="1"/>
  <c r="BJ51" i="27" s="1"/>
  <c r="BQ51" i="27" s="1"/>
  <c r="BW60" i="27"/>
  <c r="BX51" i="27"/>
  <c r="BC56" i="27"/>
  <c r="BG56" i="27" s="1"/>
  <c r="BJ56" i="27" s="1"/>
  <c r="BQ56" i="27" s="1"/>
  <c r="BJ5" i="27"/>
  <c r="BC112" i="27"/>
  <c r="BG112" i="27" s="1"/>
  <c r="BJ112" i="27" s="1"/>
  <c r="BQ112" i="27" s="1"/>
  <c r="BJ106" i="27"/>
  <c r="BC28" i="27"/>
  <c r="BG28" i="27" s="1"/>
  <c r="BJ28" i="27" s="1"/>
  <c r="BG17" i="27"/>
  <c r="BJ17" i="27" s="1"/>
  <c r="M26" i="29"/>
  <c r="BX31" i="27"/>
  <c r="BC16" i="27"/>
  <c r="BG16" i="27" s="1"/>
  <c r="BJ16" i="27" s="1"/>
  <c r="BQ16" i="27" s="1"/>
  <c r="BC69" i="27"/>
  <c r="BG69" i="27" s="1"/>
  <c r="BJ69" i="27" s="1"/>
  <c r="BQ69" i="27" s="1"/>
  <c r="BG71" i="27"/>
  <c r="BJ71" i="27" s="1"/>
  <c r="BC12" i="27"/>
  <c r="BG12" i="27" s="1"/>
  <c r="BJ12" i="27" s="1"/>
  <c r="BQ12" i="27" s="1"/>
  <c r="BW44" i="27"/>
  <c r="BC103" i="27"/>
  <c r="BG103" i="27" s="1"/>
  <c r="BJ103" i="27" s="1"/>
  <c r="BQ103" i="27" s="1"/>
  <c r="BC65" i="27"/>
  <c r="BG65" i="27" s="1"/>
  <c r="BJ65" i="27" s="1"/>
  <c r="BQ65" i="27" s="1"/>
  <c r="BC18" i="27"/>
  <c r="BG18" i="27" s="1"/>
  <c r="BJ18" i="27" s="1"/>
  <c r="BQ18" i="27" s="1"/>
  <c r="M22" i="29"/>
  <c r="BC108" i="27"/>
  <c r="BG108" i="27" s="1"/>
  <c r="BJ108" i="27" s="1"/>
  <c r="BW72" i="27"/>
  <c r="BJ110" i="27"/>
  <c r="BC66" i="27"/>
  <c r="BG66" i="27" s="1"/>
  <c r="BJ66" i="27" s="1"/>
  <c r="BQ66" i="27"/>
  <c r="BX61" i="27"/>
  <c r="BW24" i="27"/>
  <c r="BC24" i="27"/>
  <c r="BG24" i="27" s="1"/>
  <c r="BJ24" i="27" s="1"/>
  <c r="BQ24" i="27" s="1"/>
  <c r="BC32" i="27"/>
  <c r="BG32" i="27" s="1"/>
  <c r="BJ32" i="27" s="1"/>
  <c r="BJ98" i="27"/>
  <c r="M27" i="29"/>
  <c r="BW18" i="27"/>
  <c r="BC64" i="27"/>
  <c r="BG64" i="27" s="1"/>
  <c r="BJ64" i="27" s="1"/>
  <c r="BG73" i="27"/>
  <c r="BJ73" i="27" s="1"/>
  <c r="BC54" i="27"/>
  <c r="BG54" i="27" s="1"/>
  <c r="BJ54" i="27" s="1"/>
  <c r="BQ54" i="27"/>
  <c r="L32" i="29"/>
  <c r="L31" i="29"/>
  <c r="L30" i="29"/>
  <c r="L25" i="29"/>
  <c r="L27" i="29"/>
  <c r="L22" i="29"/>
  <c r="L21" i="29"/>
  <c r="BX5" i="27"/>
  <c r="BC97" i="27"/>
  <c r="BG97" i="27" s="1"/>
  <c r="BJ97" i="27" s="1"/>
  <c r="BQ97" i="27" s="1"/>
  <c r="BX69" i="27"/>
  <c r="BC80" i="27"/>
  <c r="BG80" i="27" s="1"/>
  <c r="BJ80" i="27" s="1"/>
  <c r="BQ80" i="27" s="1"/>
  <c r="BC88" i="27"/>
  <c r="BG88" i="27" s="1"/>
  <c r="BJ88" i="27" s="1"/>
  <c r="BQ88" i="27" s="1"/>
  <c r="BC89" i="27"/>
  <c r="BG89" i="27" s="1"/>
  <c r="BJ89" i="27" s="1"/>
  <c r="BC44" i="27"/>
  <c r="BG44" i="27" s="1"/>
  <c r="BJ44" i="27" s="1"/>
  <c r="BQ44" i="27" s="1"/>
  <c r="BC19" i="27"/>
  <c r="BG19" i="27" s="1"/>
  <c r="BJ19" i="27" s="1"/>
  <c r="BQ19" i="27" s="1"/>
  <c r="BJ96" i="27"/>
  <c r="BX43" i="27"/>
  <c r="BX65" i="27"/>
  <c r="BK58" i="27" l="1"/>
  <c r="BN58" i="27"/>
  <c r="BX58" i="27" s="1"/>
  <c r="BK10" i="27"/>
  <c r="BN10" i="27"/>
  <c r="BX10" i="27" s="1"/>
  <c r="BL10" i="27"/>
  <c r="BN41" i="27"/>
  <c r="BW41" i="27" s="1"/>
  <c r="BO41" i="27"/>
  <c r="BM41" i="27"/>
  <c r="BK41" i="27"/>
  <c r="BK101" i="27"/>
  <c r="BM101" i="27"/>
  <c r="BN101" i="27"/>
  <c r="BW101" i="27" s="1"/>
  <c r="BO101" i="27"/>
  <c r="M40" i="29"/>
  <c r="H29" i="26" s="1"/>
  <c r="M64" i="29"/>
  <c r="AC62" i="29" s="1"/>
  <c r="BO85" i="27"/>
  <c r="BM39" i="27"/>
  <c r="M60" i="29"/>
  <c r="Y62" i="29" s="1"/>
  <c r="BO36" i="27"/>
  <c r="M65" i="29"/>
  <c r="AD62" i="29" s="1"/>
  <c r="BN85" i="27"/>
  <c r="BW85" i="27" s="1"/>
  <c r="M63" i="29"/>
  <c r="AB62" i="29" s="1"/>
  <c r="BK85" i="27"/>
  <c r="BM85" i="27"/>
  <c r="BS85" i="27" s="1"/>
  <c r="BQ27" i="27"/>
  <c r="BL36" i="27"/>
  <c r="BS36" i="27" s="1"/>
  <c r="BU36" i="27" s="1"/>
  <c r="BN36" i="27"/>
  <c r="BX36" i="27" s="1"/>
  <c r="BK100" i="27"/>
  <c r="M39" i="29"/>
  <c r="H30" i="26" s="1"/>
  <c r="BO27" i="27"/>
  <c r="BK39" i="27"/>
  <c r="BO79" i="27"/>
  <c r="BN79" i="27"/>
  <c r="BW79" i="27" s="1"/>
  <c r="BM27" i="27"/>
  <c r="BS27" i="27" s="1"/>
  <c r="BU27" i="27" s="1"/>
  <c r="M66" i="29"/>
  <c r="AE62" i="29" s="1"/>
  <c r="BK27" i="27"/>
  <c r="M62" i="29"/>
  <c r="AA62" i="29" s="1"/>
  <c r="M104" i="29"/>
  <c r="T104" i="29" s="1"/>
  <c r="BO26" i="27"/>
  <c r="BK26" i="27"/>
  <c r="BM79" i="27"/>
  <c r="BR79" i="27" s="1"/>
  <c r="BT79" i="27" s="1"/>
  <c r="BL26" i="27"/>
  <c r="BR26" i="27" s="1"/>
  <c r="BT26" i="27" s="1"/>
  <c r="BN26" i="27"/>
  <c r="BX26" i="27" s="1"/>
  <c r="E25" i="26"/>
  <c r="E28" i="26"/>
  <c r="B10" i="26"/>
  <c r="E24" i="26"/>
  <c r="BK79" i="27"/>
  <c r="BQ39" i="27"/>
  <c r="Q104" i="29"/>
  <c r="U104" i="29" s="1"/>
  <c r="H25" i="26"/>
  <c r="H24" i="26"/>
  <c r="BN100" i="27"/>
  <c r="BX100" i="27" s="1"/>
  <c r="BO39" i="27"/>
  <c r="BL100" i="27"/>
  <c r="BS100" i="27" s="1"/>
  <c r="BU100" i="27" s="1"/>
  <c r="BO100" i="27"/>
  <c r="M84" i="29"/>
  <c r="P84" i="29" s="1"/>
  <c r="BK32" i="27"/>
  <c r="BL32" i="27"/>
  <c r="BN32" i="27"/>
  <c r="BX32" i="27" s="1"/>
  <c r="BO32" i="27"/>
  <c r="BQ32" i="27"/>
  <c r="BQ94" i="27"/>
  <c r="BL86" i="27"/>
  <c r="BK86" i="27"/>
  <c r="BN86" i="27"/>
  <c r="BX86" i="27" s="1"/>
  <c r="BO86" i="27"/>
  <c r="BQ86" i="27"/>
  <c r="BN90" i="27"/>
  <c r="BX90" i="27" s="1"/>
  <c r="BO90" i="27"/>
  <c r="BK90" i="27"/>
  <c r="BL90" i="27"/>
  <c r="BK12" i="27"/>
  <c r="BN12" i="27"/>
  <c r="BX12" i="27" s="1"/>
  <c r="BO12" i="27"/>
  <c r="BL12" i="27"/>
  <c r="O83" i="29"/>
  <c r="Q83" i="29" s="1"/>
  <c r="BN77" i="27"/>
  <c r="BW77" i="27" s="1"/>
  <c r="BM77" i="27"/>
  <c r="BK77" i="27"/>
  <c r="BO77" i="27"/>
  <c r="BQ81" i="27"/>
  <c r="BS40" i="27"/>
  <c r="BU40" i="27" s="1"/>
  <c r="BR40" i="27"/>
  <c r="BT40" i="27" s="1"/>
  <c r="BP40" i="27"/>
  <c r="BN28" i="27"/>
  <c r="BX28" i="27" s="1"/>
  <c r="BK28" i="27"/>
  <c r="BL28" i="27"/>
  <c r="BO28" i="27"/>
  <c r="BR101" i="27"/>
  <c r="BT101" i="27" s="1"/>
  <c r="BS101" i="27"/>
  <c r="BU101" i="27" s="1"/>
  <c r="BK104" i="27"/>
  <c r="BL104" i="27"/>
  <c r="BN104" i="27"/>
  <c r="BO104" i="27"/>
  <c r="BK83" i="27"/>
  <c r="BN83" i="27"/>
  <c r="BW83" i="27" s="1"/>
  <c r="BM83" i="27"/>
  <c r="BO83" i="27"/>
  <c r="BN51" i="27"/>
  <c r="BW51" i="27" s="1"/>
  <c r="BO51" i="27"/>
  <c r="BK51" i="27"/>
  <c r="BM51" i="27"/>
  <c r="BN53" i="27"/>
  <c r="BW53" i="27" s="1"/>
  <c r="BM53" i="27"/>
  <c r="BK53" i="27"/>
  <c r="BO53" i="27"/>
  <c r="BN75" i="27"/>
  <c r="BW75" i="27" s="1"/>
  <c r="BK75" i="27"/>
  <c r="BM75" i="27"/>
  <c r="BO75" i="27"/>
  <c r="BK45" i="27"/>
  <c r="BM45" i="27"/>
  <c r="BN45" i="27"/>
  <c r="BW45" i="27" s="1"/>
  <c r="BO45" i="27"/>
  <c r="BN96" i="27"/>
  <c r="BX96" i="27" s="1"/>
  <c r="BK96" i="27"/>
  <c r="BL96" i="27"/>
  <c r="BO96" i="27"/>
  <c r="BQ96" i="27"/>
  <c r="BN92" i="27"/>
  <c r="BX92" i="27" s="1"/>
  <c r="BK92" i="27"/>
  <c r="BL92" i="27"/>
  <c r="BO92" i="27"/>
  <c r="BQ92" i="27"/>
  <c r="BL42" i="27"/>
  <c r="BN42" i="27"/>
  <c r="BX42" i="27" s="1"/>
  <c r="BO42" i="27"/>
  <c r="BK42" i="27"/>
  <c r="BM17" i="27"/>
  <c r="BK17" i="27"/>
  <c r="BN17" i="27"/>
  <c r="BW17" i="27" s="1"/>
  <c r="BO17" i="27"/>
  <c r="BQ17" i="27"/>
  <c r="BL52" i="27"/>
  <c r="BK52" i="27"/>
  <c r="BN52" i="27"/>
  <c r="BX52" i="27" s="1"/>
  <c r="BO52" i="27"/>
  <c r="BN50" i="27"/>
  <c r="BX50" i="27" s="1"/>
  <c r="BK50" i="27"/>
  <c r="BL50" i="27"/>
  <c r="BO50" i="27"/>
  <c r="BN25" i="27"/>
  <c r="BW25" i="27" s="1"/>
  <c r="BK25" i="27"/>
  <c r="BM25" i="27"/>
  <c r="BO25" i="27"/>
  <c r="BK23" i="27"/>
  <c r="BM23" i="27"/>
  <c r="BN23" i="27"/>
  <c r="BW23" i="27" s="1"/>
  <c r="BO23" i="27"/>
  <c r="M103" i="29"/>
  <c r="T103" i="29" s="1"/>
  <c r="BQ28" i="27"/>
  <c r="BK15" i="27"/>
  <c r="BN15" i="27"/>
  <c r="BW15" i="27" s="1"/>
  <c r="BM15" i="27"/>
  <c r="BO15" i="27"/>
  <c r="BM105" i="27"/>
  <c r="BN105" i="27"/>
  <c r="BO105" i="27"/>
  <c r="BK105" i="27"/>
  <c r="BQ105" i="27"/>
  <c r="BR58" i="27"/>
  <c r="BT58" i="27" s="1"/>
  <c r="BS58" i="27"/>
  <c r="BU58" i="27" s="1"/>
  <c r="BP58" i="27"/>
  <c r="BL72" i="27"/>
  <c r="BK72" i="27"/>
  <c r="BN72" i="27"/>
  <c r="BX72" i="27" s="1"/>
  <c r="BO72" i="27"/>
  <c r="BN24" i="27"/>
  <c r="BX24" i="27" s="1"/>
  <c r="BK24" i="27"/>
  <c r="BL24" i="27"/>
  <c r="BO24" i="27"/>
  <c r="BK6" i="27"/>
  <c r="BL6" i="27"/>
  <c r="BN6" i="27"/>
  <c r="BX6" i="27" s="1"/>
  <c r="BO6" i="27"/>
  <c r="Q102" i="29"/>
  <c r="U102" i="29" s="1"/>
  <c r="M23" i="29"/>
  <c r="M36" i="29" s="1"/>
  <c r="H32" i="26" s="1"/>
  <c r="O85" i="29"/>
  <c r="Q85" i="29" s="1"/>
  <c r="BQ6" i="27"/>
  <c r="BN59" i="27"/>
  <c r="BW59" i="27" s="1"/>
  <c r="BK59" i="27"/>
  <c r="BM59" i="27"/>
  <c r="BO59" i="27"/>
  <c r="BN76" i="27"/>
  <c r="BX76" i="27" s="1"/>
  <c r="BK76" i="27"/>
  <c r="BL76" i="27"/>
  <c r="BO76" i="27"/>
  <c r="BK66" i="27"/>
  <c r="BN66" i="27"/>
  <c r="BX66" i="27" s="1"/>
  <c r="BL66" i="27"/>
  <c r="BO66" i="27"/>
  <c r="BN102" i="27"/>
  <c r="BX102" i="27" s="1"/>
  <c r="BL102" i="27"/>
  <c r="BK102" i="27"/>
  <c r="BO102" i="27"/>
  <c r="BP74" i="27"/>
  <c r="BR74" i="27"/>
  <c r="BT74" i="27" s="1"/>
  <c r="BS74" i="27"/>
  <c r="BU74" i="27" s="1"/>
  <c r="BN34" i="27"/>
  <c r="BX34" i="27" s="1"/>
  <c r="BL34" i="27"/>
  <c r="BK34" i="27"/>
  <c r="BO34" i="27"/>
  <c r="BK69" i="27"/>
  <c r="BN69" i="27"/>
  <c r="BW69" i="27" s="1"/>
  <c r="BM69" i="27"/>
  <c r="BO69" i="27"/>
  <c r="BR9" i="27"/>
  <c r="BT9" i="27" s="1"/>
  <c r="BS9" i="27"/>
  <c r="BU9" i="27" s="1"/>
  <c r="BS10" i="27"/>
  <c r="BU10" i="27" s="1"/>
  <c r="BR10" i="27"/>
  <c r="BT10" i="27" s="1"/>
  <c r="BP10" i="27"/>
  <c r="BK111" i="27"/>
  <c r="BM111" i="27"/>
  <c r="BN111" i="27"/>
  <c r="BO111" i="27"/>
  <c r="BQ111" i="27"/>
  <c r="BK19" i="27"/>
  <c r="BN19" i="27"/>
  <c r="BW19" i="27" s="1"/>
  <c r="BM19" i="27"/>
  <c r="BO19" i="27"/>
  <c r="BQ76" i="27"/>
  <c r="L40" i="29"/>
  <c r="E29" i="26" s="1"/>
  <c r="BN106" i="27"/>
  <c r="BL106" i="27"/>
  <c r="BK106" i="27"/>
  <c r="BO106" i="27"/>
  <c r="BQ106" i="27"/>
  <c r="BK30" i="27"/>
  <c r="BL30" i="27"/>
  <c r="BN30" i="27"/>
  <c r="BX30" i="27" s="1"/>
  <c r="BO30" i="27"/>
  <c r="BK60" i="27"/>
  <c r="BL60" i="27"/>
  <c r="BN60" i="27"/>
  <c r="BX60" i="27" s="1"/>
  <c r="BO60" i="27"/>
  <c r="BL54" i="27"/>
  <c r="BK54" i="27"/>
  <c r="BN54" i="27"/>
  <c r="BX54" i="27" s="1"/>
  <c r="BO54" i="27"/>
  <c r="BK18" i="27"/>
  <c r="BL18" i="27"/>
  <c r="BN18" i="27"/>
  <c r="BX18" i="27" s="1"/>
  <c r="BO18" i="27"/>
  <c r="BK49" i="27"/>
  <c r="BM49" i="27"/>
  <c r="BN49" i="27"/>
  <c r="BW49" i="27" s="1"/>
  <c r="BO49" i="27"/>
  <c r="BK33" i="27"/>
  <c r="BN33" i="27"/>
  <c r="BW33" i="27" s="1"/>
  <c r="BM33" i="27"/>
  <c r="BO33" i="27"/>
  <c r="BQ77" i="27"/>
  <c r="BK22" i="27"/>
  <c r="BN22" i="27"/>
  <c r="BX22" i="27" s="1"/>
  <c r="BL22" i="27"/>
  <c r="BO22" i="27"/>
  <c r="BS39" i="27"/>
  <c r="BU39" i="27" s="1"/>
  <c r="BR39" i="27"/>
  <c r="BT39" i="27" s="1"/>
  <c r="BQ53" i="27"/>
  <c r="L60" i="29"/>
  <c r="L66" i="29"/>
  <c r="AE61" i="29" s="1"/>
  <c r="L65" i="29"/>
  <c r="AD61" i="29" s="1"/>
  <c r="L63" i="29"/>
  <c r="AB61" i="29" s="1"/>
  <c r="L61" i="29"/>
  <c r="Z61" i="29" s="1"/>
  <c r="L64" i="29"/>
  <c r="AC61" i="29" s="1"/>
  <c r="L62" i="29"/>
  <c r="AA61" i="29" s="1"/>
  <c r="BK8" i="27"/>
  <c r="BL8" i="27"/>
  <c r="BO8" i="27"/>
  <c r="BN8" i="27"/>
  <c r="BX8" i="27" s="1"/>
  <c r="Q103" i="29"/>
  <c r="U103" i="29" s="1"/>
  <c r="BQ8" i="27"/>
  <c r="BK37" i="27"/>
  <c r="BN37" i="27"/>
  <c r="BW37" i="27" s="1"/>
  <c r="BO37" i="27"/>
  <c r="BM37" i="27"/>
  <c r="L55" i="29"/>
  <c r="AC51" i="29" s="1"/>
  <c r="L54" i="29"/>
  <c r="AB51" i="29" s="1"/>
  <c r="L56" i="29"/>
  <c r="AD51" i="29" s="1"/>
  <c r="L42" i="29"/>
  <c r="E31" i="26" s="1"/>
  <c r="L34" i="29"/>
  <c r="E27" i="26" s="1"/>
  <c r="L51" i="29"/>
  <c r="Y51" i="29" s="1"/>
  <c r="L53" i="29"/>
  <c r="AA51" i="29" s="1"/>
  <c r="L52" i="29"/>
  <c r="Z51" i="29" s="1"/>
  <c r="BM57" i="27"/>
  <c r="BN57" i="27"/>
  <c r="BW57" i="27" s="1"/>
  <c r="BO57" i="27"/>
  <c r="BK57" i="27"/>
  <c r="BK81" i="27"/>
  <c r="BN81" i="27"/>
  <c r="BW81" i="27" s="1"/>
  <c r="BM81" i="27"/>
  <c r="BO81" i="27"/>
  <c r="L39" i="29"/>
  <c r="E30" i="26" s="1"/>
  <c r="BL64" i="27"/>
  <c r="BK64" i="27"/>
  <c r="BN64" i="27"/>
  <c r="BX64" i="27" s="1"/>
  <c r="BO64" i="27"/>
  <c r="BK67" i="27"/>
  <c r="BM67" i="27"/>
  <c r="BO67" i="27"/>
  <c r="BN67" i="27"/>
  <c r="BW67" i="27" s="1"/>
  <c r="BK91" i="27"/>
  <c r="BM91" i="27"/>
  <c r="BO91" i="27"/>
  <c r="BN91" i="27"/>
  <c r="BW91" i="27" s="1"/>
  <c r="BM65" i="27"/>
  <c r="BK65" i="27"/>
  <c r="BN65" i="27"/>
  <c r="BW65" i="27" s="1"/>
  <c r="BO65" i="27"/>
  <c r="BS41" i="27"/>
  <c r="BU41" i="27" s="1"/>
  <c r="BR41" i="27"/>
  <c r="BT41" i="27" s="1"/>
  <c r="BK20" i="27"/>
  <c r="BL20" i="27"/>
  <c r="BN20" i="27"/>
  <c r="BX20" i="27" s="1"/>
  <c r="BO20" i="27"/>
  <c r="BM11" i="27"/>
  <c r="BK11" i="27"/>
  <c r="BN11" i="27"/>
  <c r="BW11" i="27" s="1"/>
  <c r="BO11" i="27"/>
  <c r="M83" i="29"/>
  <c r="P83" i="29" s="1"/>
  <c r="BN71" i="27"/>
  <c r="BW71" i="27" s="1"/>
  <c r="BK71" i="27"/>
  <c r="BM71" i="27"/>
  <c r="BO71" i="27"/>
  <c r="BQ71" i="27"/>
  <c r="BQ34" i="27"/>
  <c r="BN46" i="27"/>
  <c r="BX46" i="27" s="1"/>
  <c r="BO46" i="27"/>
  <c r="BK46" i="27"/>
  <c r="BL46" i="27"/>
  <c r="BL16" i="27"/>
  <c r="BN16" i="27"/>
  <c r="BX16" i="27" s="1"/>
  <c r="BO16" i="27"/>
  <c r="BK16" i="27"/>
  <c r="BM29" i="27"/>
  <c r="BN29" i="27"/>
  <c r="BW29" i="27" s="1"/>
  <c r="BK29" i="27"/>
  <c r="BO29" i="27"/>
  <c r="BQ29" i="27"/>
  <c r="BK70" i="27"/>
  <c r="BL70" i="27"/>
  <c r="BN70" i="27"/>
  <c r="BX70" i="27" s="1"/>
  <c r="BO70" i="27"/>
  <c r="BK99" i="27"/>
  <c r="BM99" i="27"/>
  <c r="BN99" i="27"/>
  <c r="BW99" i="27" s="1"/>
  <c r="BO99" i="27"/>
  <c r="BQ99" i="27"/>
  <c r="M54" i="29"/>
  <c r="AB52" i="29" s="1"/>
  <c r="M56" i="29"/>
  <c r="AD52" i="29" s="1"/>
  <c r="M42" i="29"/>
  <c r="H31" i="26" s="1"/>
  <c r="M55" i="29"/>
  <c r="AC52" i="29" s="1"/>
  <c r="M52" i="29"/>
  <c r="Z52" i="29" s="1"/>
  <c r="M53" i="29"/>
  <c r="AA52" i="29" s="1"/>
  <c r="M51" i="29"/>
  <c r="Y52" i="29" s="1"/>
  <c r="BN48" i="27"/>
  <c r="BX48" i="27" s="1"/>
  <c r="BK48" i="27"/>
  <c r="BL48" i="27"/>
  <c r="BO48" i="27"/>
  <c r="BK38" i="27"/>
  <c r="BL38" i="27"/>
  <c r="BN38" i="27"/>
  <c r="BX38" i="27" s="1"/>
  <c r="BO38" i="27"/>
  <c r="BK31" i="27"/>
  <c r="BM31" i="27"/>
  <c r="BN31" i="27"/>
  <c r="BW31" i="27" s="1"/>
  <c r="BO31" i="27"/>
  <c r="BQ64" i="27"/>
  <c r="BN47" i="27"/>
  <c r="BW47" i="27" s="1"/>
  <c r="BO47" i="27"/>
  <c r="BK47" i="27"/>
  <c r="BM47" i="27"/>
  <c r="BK103" i="27"/>
  <c r="BN103" i="27"/>
  <c r="BM103" i="27"/>
  <c r="BO103" i="27"/>
  <c r="BK14" i="27"/>
  <c r="BL14" i="27"/>
  <c r="BN14" i="27"/>
  <c r="BX14" i="27" s="1"/>
  <c r="BO14" i="27"/>
  <c r="BK107" i="27"/>
  <c r="BN107" i="27"/>
  <c r="BO107" i="27"/>
  <c r="BM107" i="27"/>
  <c r="BM87" i="27"/>
  <c r="BN87" i="27"/>
  <c r="BW87" i="27" s="1"/>
  <c r="BO87" i="27"/>
  <c r="BK87" i="27"/>
  <c r="BQ87" i="27"/>
  <c r="BQ107" i="27"/>
  <c r="BQ20" i="27"/>
  <c r="BK13" i="27"/>
  <c r="BN13" i="27"/>
  <c r="BW13" i="27" s="1"/>
  <c r="BM13" i="27"/>
  <c r="BO13" i="27"/>
  <c r="BR78" i="27"/>
  <c r="BT78" i="27" s="1"/>
  <c r="BS78" i="27"/>
  <c r="BU78" i="27" s="1"/>
  <c r="BP78" i="27"/>
  <c r="BK55" i="27"/>
  <c r="BM55" i="27"/>
  <c r="BO55" i="27"/>
  <c r="BN55" i="27"/>
  <c r="BW55" i="27" s="1"/>
  <c r="BL94" i="27"/>
  <c r="BN94" i="27"/>
  <c r="BX94" i="27" s="1"/>
  <c r="BO94" i="27"/>
  <c r="BK94" i="27"/>
  <c r="BK7" i="27"/>
  <c r="BM7" i="27"/>
  <c r="BO7" i="27"/>
  <c r="BN7" i="27"/>
  <c r="BW7" i="27" s="1"/>
  <c r="BR61" i="27"/>
  <c r="BT61" i="27" s="1"/>
  <c r="BS61" i="27"/>
  <c r="BU61" i="27" s="1"/>
  <c r="BM21" i="27"/>
  <c r="BN21" i="27"/>
  <c r="BW21" i="27" s="1"/>
  <c r="BO21" i="27"/>
  <c r="BK21" i="27"/>
  <c r="L23" i="29"/>
  <c r="E26" i="26" s="1"/>
  <c r="BN95" i="27"/>
  <c r="BW95" i="27" s="1"/>
  <c r="BK95" i="27"/>
  <c r="BM95" i="27"/>
  <c r="BO95" i="27"/>
  <c r="BK44" i="27"/>
  <c r="BN44" i="27"/>
  <c r="BX44" i="27" s="1"/>
  <c r="BL44" i="27"/>
  <c r="BO44" i="27"/>
  <c r="BN110" i="27"/>
  <c r="BK110" i="27"/>
  <c r="BL110" i="27"/>
  <c r="BO110" i="27"/>
  <c r="BQ110" i="27"/>
  <c r="BM89" i="27"/>
  <c r="BN89" i="27"/>
  <c r="BW89" i="27" s="1"/>
  <c r="BK89" i="27"/>
  <c r="BO89" i="27"/>
  <c r="BK108" i="27"/>
  <c r="BL108" i="27"/>
  <c r="BN108" i="27"/>
  <c r="BO108" i="27"/>
  <c r="BN62" i="27"/>
  <c r="BX62" i="27" s="1"/>
  <c r="BK62" i="27"/>
  <c r="BL62" i="27"/>
  <c r="BO62" i="27"/>
  <c r="BR68" i="27"/>
  <c r="BT68" i="27" s="1"/>
  <c r="BS68" i="27"/>
  <c r="BU68" i="27" s="1"/>
  <c r="BP68" i="27"/>
  <c r="BN63" i="27"/>
  <c r="BW63" i="27" s="1"/>
  <c r="BK63" i="27"/>
  <c r="BM63" i="27"/>
  <c r="BO63" i="27"/>
  <c r="BQ63" i="27"/>
  <c r="BQ89" i="27"/>
  <c r="BQ108" i="27"/>
  <c r="BQ102" i="27"/>
  <c r="BQ62" i="27"/>
  <c r="BK88" i="27"/>
  <c r="BO88" i="27"/>
  <c r="BL88" i="27"/>
  <c r="BN88" i="27"/>
  <c r="BX88" i="27" s="1"/>
  <c r="BK112" i="27"/>
  <c r="BN112" i="27"/>
  <c r="BO112" i="27"/>
  <c r="BL112" i="27"/>
  <c r="BN73" i="27"/>
  <c r="BW73" i="27" s="1"/>
  <c r="BM73" i="27"/>
  <c r="BK73" i="27"/>
  <c r="BO73" i="27"/>
  <c r="BQ73" i="27"/>
  <c r="BN5" i="27"/>
  <c r="BW5" i="27" s="1"/>
  <c r="BM5" i="27"/>
  <c r="BK5" i="27"/>
  <c r="BO5" i="27"/>
  <c r="M85" i="29"/>
  <c r="P85" i="29" s="1"/>
  <c r="BQ5" i="27"/>
  <c r="M102" i="29"/>
  <c r="T102" i="29" s="1"/>
  <c r="BR93" i="27"/>
  <c r="BT93" i="27" s="1"/>
  <c r="BS93" i="27"/>
  <c r="BU93" i="27" s="1"/>
  <c r="BR84" i="27"/>
  <c r="BP84" i="27"/>
  <c r="BS84" i="27"/>
  <c r="BK80" i="27"/>
  <c r="BL80" i="27"/>
  <c r="BO80" i="27"/>
  <c r="BN80" i="27"/>
  <c r="BX80" i="27" s="1"/>
  <c r="O84" i="29"/>
  <c r="Q84" i="29" s="1"/>
  <c r="BL56" i="27"/>
  <c r="BN56" i="27"/>
  <c r="BX56" i="27" s="1"/>
  <c r="BO56" i="27"/>
  <c r="BK56" i="27"/>
  <c r="BK82" i="27"/>
  <c r="BL82" i="27"/>
  <c r="BN82" i="27"/>
  <c r="BX82" i="27" s="1"/>
  <c r="BO82" i="27"/>
  <c r="BO35" i="27"/>
  <c r="BM35" i="27"/>
  <c r="BN35" i="27"/>
  <c r="BW35" i="27" s="1"/>
  <c r="BK35" i="27"/>
  <c r="BM109" i="27"/>
  <c r="BN109" i="27"/>
  <c r="BK109" i="27"/>
  <c r="BO109" i="27"/>
  <c r="BQ109" i="27"/>
  <c r="BK97" i="27"/>
  <c r="BM97" i="27"/>
  <c r="BN97" i="27"/>
  <c r="BW97" i="27" s="1"/>
  <c r="BO97" i="27"/>
  <c r="BN98" i="27"/>
  <c r="BX98" i="27" s="1"/>
  <c r="BL98" i="27"/>
  <c r="BK98" i="27"/>
  <c r="BO98" i="27"/>
  <c r="BQ98" i="27"/>
  <c r="BK43" i="27"/>
  <c r="BM43" i="27"/>
  <c r="BN43" i="27"/>
  <c r="BW43" i="27" s="1"/>
  <c r="BO43" i="27"/>
  <c r="BQ43" i="27"/>
  <c r="BQ55" i="27"/>
  <c r="BP36" i="27" l="1"/>
  <c r="BR36" i="27"/>
  <c r="BT36" i="27" s="1"/>
  <c r="BR85" i="27"/>
  <c r="BR27" i="27"/>
  <c r="BT27" i="27" s="1"/>
  <c r="BS79" i="27"/>
  <c r="BU79" i="27" s="1"/>
  <c r="BP26" i="27"/>
  <c r="BS26" i="27"/>
  <c r="BU26" i="27" s="1"/>
  <c r="BW107" i="27"/>
  <c r="T29" i="26"/>
  <c r="BX108" i="27"/>
  <c r="T28" i="26"/>
  <c r="BW109" i="27"/>
  <c r="T27" i="26"/>
  <c r="BR100" i="27"/>
  <c r="BT100" i="27" s="1"/>
  <c r="M34" i="29"/>
  <c r="H27" i="26" s="1"/>
  <c r="BX104" i="27"/>
  <c r="T32" i="26"/>
  <c r="H26" i="26"/>
  <c r="BX106" i="27"/>
  <c r="T30" i="26"/>
  <c r="BX110" i="27"/>
  <c r="T26" i="26"/>
  <c r="BP100" i="27"/>
  <c r="BW103" i="27"/>
  <c r="T33" i="26"/>
  <c r="BW105" i="27"/>
  <c r="T31" i="26"/>
  <c r="Q18" i="26"/>
  <c r="BW111" i="27"/>
  <c r="T25" i="26"/>
  <c r="L24" i="29"/>
  <c r="R84" i="29"/>
  <c r="BX112" i="27"/>
  <c r="T24" i="26"/>
  <c r="BR16" i="27"/>
  <c r="BT16" i="27" s="1"/>
  <c r="BS16" i="27"/>
  <c r="BU16" i="27" s="1"/>
  <c r="BP16" i="27"/>
  <c r="Y79" i="29"/>
  <c r="Y61" i="29"/>
  <c r="BR25" i="27"/>
  <c r="BT25" i="27" s="1"/>
  <c r="BS25" i="27"/>
  <c r="BU25" i="27" s="1"/>
  <c r="BS63" i="27"/>
  <c r="BU63" i="27" s="1"/>
  <c r="BR63" i="27"/>
  <c r="BT63" i="27" s="1"/>
  <c r="BS5" i="27"/>
  <c r="BR5" i="27"/>
  <c r="L26" i="29"/>
  <c r="BR13" i="27"/>
  <c r="BT13" i="27" s="1"/>
  <c r="BS13" i="27"/>
  <c r="BU13" i="27" s="1"/>
  <c r="BR37" i="27"/>
  <c r="BT37" i="27" s="1"/>
  <c r="BS37" i="27"/>
  <c r="BU37" i="27" s="1"/>
  <c r="BP46" i="27"/>
  <c r="BS46" i="27"/>
  <c r="BU46" i="27" s="1"/>
  <c r="BR46" i="27"/>
  <c r="BT46" i="27" s="1"/>
  <c r="BS82" i="27"/>
  <c r="BU82" i="27" s="1"/>
  <c r="BP82" i="27"/>
  <c r="BR82" i="27"/>
  <c r="BT82" i="27" s="1"/>
  <c r="BR43" i="27"/>
  <c r="BT43" i="27" s="1"/>
  <c r="BS43" i="27"/>
  <c r="BU43" i="27" s="1"/>
  <c r="BR90" i="27"/>
  <c r="BT90" i="27" s="1"/>
  <c r="BS90" i="27"/>
  <c r="BU90" i="27" s="1"/>
  <c r="BP90" i="27"/>
  <c r="BP112" i="27"/>
  <c r="BR112" i="27"/>
  <c r="BT112" i="27" s="1"/>
  <c r="BS112" i="27"/>
  <c r="BU112" i="27" s="1"/>
  <c r="BT85" i="27"/>
  <c r="BP30" i="27"/>
  <c r="BR30" i="27"/>
  <c r="BT30" i="27" s="1"/>
  <c r="BS30" i="27"/>
  <c r="BU30" i="27" s="1"/>
  <c r="BR69" i="27"/>
  <c r="BT69" i="27" s="1"/>
  <c r="BS69" i="27"/>
  <c r="BU69" i="27" s="1"/>
  <c r="R83" i="29"/>
  <c r="BR45" i="27"/>
  <c r="BT45" i="27" s="1"/>
  <c r="BS45" i="27"/>
  <c r="BU45" i="27" s="1"/>
  <c r="BR12" i="27"/>
  <c r="BT12" i="27" s="1"/>
  <c r="BS12" i="27"/>
  <c r="BU12" i="27" s="1"/>
  <c r="BP12" i="27"/>
  <c r="BR47" i="27"/>
  <c r="BT47" i="27" s="1"/>
  <c r="BS47" i="27"/>
  <c r="BU47" i="27" s="1"/>
  <c r="BR22" i="27"/>
  <c r="BT22" i="27" s="1"/>
  <c r="BS22" i="27"/>
  <c r="BU22" i="27" s="1"/>
  <c r="BP22" i="27"/>
  <c r="BR96" i="27"/>
  <c r="BT96" i="27" s="1"/>
  <c r="BS96" i="27"/>
  <c r="BU96" i="27" s="1"/>
  <c r="BP96" i="27"/>
  <c r="BR98" i="27"/>
  <c r="BT98" i="27" s="1"/>
  <c r="BS98" i="27"/>
  <c r="BU98" i="27" s="1"/>
  <c r="BP98" i="27"/>
  <c r="BR104" i="27"/>
  <c r="BT104" i="27" s="1"/>
  <c r="BS104" i="27"/>
  <c r="BU104" i="27" s="1"/>
  <c r="BP104" i="27"/>
  <c r="BS70" i="27"/>
  <c r="BU70" i="27" s="1"/>
  <c r="BP70" i="27"/>
  <c r="BR70" i="27"/>
  <c r="BT70" i="27" s="1"/>
  <c r="BS15" i="27"/>
  <c r="BU15" i="27" s="1"/>
  <c r="BR15" i="27"/>
  <c r="BT15" i="27" s="1"/>
  <c r="BS75" i="27"/>
  <c r="BU75" i="27" s="1"/>
  <c r="BR75" i="27"/>
  <c r="BT75" i="27" s="1"/>
  <c r="BT84" i="27"/>
  <c r="BR11" i="27"/>
  <c r="BT11" i="27" s="1"/>
  <c r="BS11" i="27"/>
  <c r="BU11" i="27" s="1"/>
  <c r="BP8" i="27"/>
  <c r="BR8" i="27"/>
  <c r="BS8" i="27"/>
  <c r="M72" i="29"/>
  <c r="M33" i="29"/>
  <c r="M75" i="29"/>
  <c r="M74" i="29"/>
  <c r="M41" i="29"/>
  <c r="M71" i="29"/>
  <c r="M73" i="29"/>
  <c r="M76" i="29"/>
  <c r="BR17" i="27"/>
  <c r="BT17" i="27" s="1"/>
  <c r="BS17" i="27"/>
  <c r="BU17" i="27" s="1"/>
  <c r="BS28" i="27"/>
  <c r="BU28" i="27" s="1"/>
  <c r="BP28" i="27"/>
  <c r="BR28" i="27"/>
  <c r="BT28" i="27" s="1"/>
  <c r="BP44" i="27"/>
  <c r="BS44" i="27"/>
  <c r="BU44" i="27" s="1"/>
  <c r="BR44" i="27"/>
  <c r="BT44" i="27" s="1"/>
  <c r="BR60" i="27"/>
  <c r="BT60" i="27" s="1"/>
  <c r="BS60" i="27"/>
  <c r="BU60" i="27" s="1"/>
  <c r="BP60" i="27"/>
  <c r="BR76" i="27"/>
  <c r="BT76" i="27" s="1"/>
  <c r="BS76" i="27"/>
  <c r="BU76" i="27" s="1"/>
  <c r="BP76" i="27"/>
  <c r="BP56" i="27"/>
  <c r="BS56" i="27"/>
  <c r="BU56" i="27" s="1"/>
  <c r="BR56" i="27"/>
  <c r="BT56" i="27" s="1"/>
  <c r="BS62" i="27"/>
  <c r="BU62" i="27" s="1"/>
  <c r="BR62" i="27"/>
  <c r="BT62" i="27" s="1"/>
  <c r="BP62" i="27"/>
  <c r="BR71" i="27"/>
  <c r="BT71" i="27" s="1"/>
  <c r="BS71" i="27"/>
  <c r="BU71" i="27" s="1"/>
  <c r="BU85" i="27"/>
  <c r="BR21" i="27"/>
  <c r="BT21" i="27" s="1"/>
  <c r="BS21" i="27"/>
  <c r="BU21" i="27" s="1"/>
  <c r="BR33" i="27"/>
  <c r="BT33" i="27" s="1"/>
  <c r="BS33" i="27"/>
  <c r="BU33" i="27" s="1"/>
  <c r="BR105" i="27"/>
  <c r="BT105" i="27" s="1"/>
  <c r="BS105" i="27"/>
  <c r="BU105" i="27" s="1"/>
  <c r="Z79" i="29"/>
  <c r="BS107" i="27"/>
  <c r="BU107" i="27" s="1"/>
  <c r="BR107" i="27"/>
  <c r="BT107" i="27" s="1"/>
  <c r="BR49" i="27"/>
  <c r="BT49" i="27" s="1"/>
  <c r="BS49" i="27"/>
  <c r="BU49" i="27" s="1"/>
  <c r="BR89" i="27"/>
  <c r="BT89" i="27" s="1"/>
  <c r="BS89" i="27"/>
  <c r="BU89" i="27" s="1"/>
  <c r="BR20" i="27"/>
  <c r="BT20" i="27" s="1"/>
  <c r="BS20" i="27"/>
  <c r="BU20" i="27" s="1"/>
  <c r="BP20" i="27"/>
  <c r="BS103" i="27"/>
  <c r="BU103" i="27" s="1"/>
  <c r="BR103" i="27"/>
  <c r="BT103" i="27" s="1"/>
  <c r="BR66" i="27"/>
  <c r="BT66" i="27" s="1"/>
  <c r="BS66" i="27"/>
  <c r="BU66" i="27" s="1"/>
  <c r="BP66" i="27"/>
  <c r="BP38" i="27"/>
  <c r="BR38" i="27"/>
  <c r="BT38" i="27" s="1"/>
  <c r="BS38" i="27"/>
  <c r="BU38" i="27" s="1"/>
  <c r="BR19" i="27"/>
  <c r="BT19" i="27" s="1"/>
  <c r="BS19" i="27"/>
  <c r="BU19" i="27" s="1"/>
  <c r="BS53" i="27"/>
  <c r="BU53" i="27" s="1"/>
  <c r="BR53" i="27"/>
  <c r="BT53" i="27" s="1"/>
  <c r="BR111" i="27"/>
  <c r="BT111" i="27" s="1"/>
  <c r="BS111" i="27"/>
  <c r="BU111" i="27" s="1"/>
  <c r="BS88" i="27"/>
  <c r="BU88" i="27" s="1"/>
  <c r="BP88" i="27"/>
  <c r="BR88" i="27"/>
  <c r="BT88" i="27" s="1"/>
  <c r="BP86" i="27"/>
  <c r="BS86" i="27"/>
  <c r="BU86" i="27" s="1"/>
  <c r="BR86" i="27"/>
  <c r="BT86" i="27" s="1"/>
  <c r="BR7" i="27"/>
  <c r="BT7" i="27" s="1"/>
  <c r="BS7" i="27"/>
  <c r="BU7" i="27" s="1"/>
  <c r="BS109" i="27"/>
  <c r="BU109" i="27" s="1"/>
  <c r="BR109" i="27"/>
  <c r="BT109" i="27" s="1"/>
  <c r="M24" i="29"/>
  <c r="BS54" i="27"/>
  <c r="BU54" i="27" s="1"/>
  <c r="BP54" i="27"/>
  <c r="BR54" i="27"/>
  <c r="BT54" i="27" s="1"/>
  <c r="BR72" i="27"/>
  <c r="BT72" i="27" s="1"/>
  <c r="BS72" i="27"/>
  <c r="BU72" i="27" s="1"/>
  <c r="BP72" i="27"/>
  <c r="L72" i="29"/>
  <c r="L74" i="29"/>
  <c r="N74" i="29" s="1"/>
  <c r="L33" i="29"/>
  <c r="L73" i="29"/>
  <c r="L41" i="29"/>
  <c r="L76" i="29"/>
  <c r="N76" i="29" s="1"/>
  <c r="L75" i="29"/>
  <c r="N75" i="29" s="1"/>
  <c r="L71" i="29"/>
  <c r="N71" i="29" s="1"/>
  <c r="BR99" i="27"/>
  <c r="BT99" i="27" s="1"/>
  <c r="BS99" i="27"/>
  <c r="BU99" i="27" s="1"/>
  <c r="BR59" i="27"/>
  <c r="BT59" i="27" s="1"/>
  <c r="BS59" i="27"/>
  <c r="BU59" i="27" s="1"/>
  <c r="BS81" i="27"/>
  <c r="BU81" i="27" s="1"/>
  <c r="BR81" i="27"/>
  <c r="BT81" i="27" s="1"/>
  <c r="BP34" i="27"/>
  <c r="BR34" i="27"/>
  <c r="BT34" i="27" s="1"/>
  <c r="BS34" i="27"/>
  <c r="BU34" i="27" s="1"/>
  <c r="BR6" i="27"/>
  <c r="BP6" i="27"/>
  <c r="BS6" i="27"/>
  <c r="M25" i="29"/>
  <c r="M35" i="29" s="1"/>
  <c r="H28" i="26" s="1"/>
  <c r="BR110" i="27"/>
  <c r="BT110" i="27" s="1"/>
  <c r="BP110" i="27"/>
  <c r="BS110" i="27"/>
  <c r="BU110" i="27" s="1"/>
  <c r="BS18" i="27"/>
  <c r="BU18" i="27" s="1"/>
  <c r="BR18" i="27"/>
  <c r="BT18" i="27" s="1"/>
  <c r="BP18" i="27"/>
  <c r="BR23" i="27"/>
  <c r="BS23" i="27"/>
  <c r="BS51" i="27"/>
  <c r="BU51" i="27" s="1"/>
  <c r="BR51" i="27"/>
  <c r="BT51" i="27" s="1"/>
  <c r="BP32" i="27"/>
  <c r="BR32" i="27"/>
  <c r="BT32" i="27" s="1"/>
  <c r="BS32" i="27"/>
  <c r="BU32" i="27" s="1"/>
  <c r="BS65" i="27"/>
  <c r="BU65" i="27" s="1"/>
  <c r="BR65" i="27"/>
  <c r="BT65" i="27" s="1"/>
  <c r="BR67" i="27"/>
  <c r="BT67" i="27" s="1"/>
  <c r="BS67" i="27"/>
  <c r="BU67" i="27" s="1"/>
  <c r="BR80" i="27"/>
  <c r="BT80" i="27" s="1"/>
  <c r="BS80" i="27"/>
  <c r="BU80" i="27" s="1"/>
  <c r="BP80" i="27"/>
  <c r="BR31" i="27"/>
  <c r="BT31" i="27" s="1"/>
  <c r="BS31" i="27"/>
  <c r="BU31" i="27" s="1"/>
  <c r="BR108" i="27"/>
  <c r="BT108" i="27" s="1"/>
  <c r="BS108" i="27"/>
  <c r="BU108" i="27" s="1"/>
  <c r="BP108" i="27"/>
  <c r="BS64" i="27"/>
  <c r="BU64" i="27" s="1"/>
  <c r="BR64" i="27"/>
  <c r="BT64" i="27" s="1"/>
  <c r="BP64" i="27"/>
  <c r="BS106" i="27"/>
  <c r="BU106" i="27" s="1"/>
  <c r="BR106" i="27"/>
  <c r="BT106" i="27" s="1"/>
  <c r="BP106" i="27"/>
  <c r="BS87" i="27"/>
  <c r="BU87" i="27" s="1"/>
  <c r="BR87" i="27"/>
  <c r="BT87" i="27" s="1"/>
  <c r="BR48" i="27"/>
  <c r="BT48" i="27" s="1"/>
  <c r="BS48" i="27"/>
  <c r="BU48" i="27" s="1"/>
  <c r="BP48" i="27"/>
  <c r="BP42" i="27"/>
  <c r="BR42" i="27"/>
  <c r="BT42" i="27" s="1"/>
  <c r="BS42" i="27"/>
  <c r="BU42" i="27" s="1"/>
  <c r="BR29" i="27"/>
  <c r="BT29" i="27" s="1"/>
  <c r="BS29" i="27"/>
  <c r="BU29" i="27" s="1"/>
  <c r="BR35" i="27"/>
  <c r="BT35" i="27" s="1"/>
  <c r="BS35" i="27"/>
  <c r="BU35" i="27" s="1"/>
  <c r="BR94" i="27"/>
  <c r="BT94" i="27" s="1"/>
  <c r="BP94" i="27"/>
  <c r="BS94" i="27"/>
  <c r="BU94" i="27" s="1"/>
  <c r="BR57" i="27"/>
  <c r="BT57" i="27" s="1"/>
  <c r="BS57" i="27"/>
  <c r="BU57" i="27" s="1"/>
  <c r="BR24" i="27"/>
  <c r="BT24" i="27" s="1"/>
  <c r="BS24" i="27"/>
  <c r="BU24" i="27" s="1"/>
  <c r="BP24" i="27"/>
  <c r="BS92" i="27"/>
  <c r="BU92" i="27" s="1"/>
  <c r="BR92" i="27"/>
  <c r="BT92" i="27" s="1"/>
  <c r="BP92" i="27"/>
  <c r="L36" i="29"/>
  <c r="E32" i="26" s="1"/>
  <c r="BR55" i="27"/>
  <c r="BT55" i="27" s="1"/>
  <c r="BS55" i="27"/>
  <c r="BU55" i="27" s="1"/>
  <c r="BS77" i="27"/>
  <c r="BU77" i="27" s="1"/>
  <c r="BR77" i="27"/>
  <c r="BT77" i="27" s="1"/>
  <c r="BS91" i="27"/>
  <c r="BU91" i="27" s="1"/>
  <c r="BR91" i="27"/>
  <c r="BT91" i="27" s="1"/>
  <c r="BR50" i="27"/>
  <c r="BT50" i="27" s="1"/>
  <c r="BS50" i="27"/>
  <c r="BU50" i="27" s="1"/>
  <c r="BP50" i="27"/>
  <c r="BS95" i="27"/>
  <c r="BU95" i="27" s="1"/>
  <c r="BR95" i="27"/>
  <c r="BT95" i="27" s="1"/>
  <c r="BS83" i="27"/>
  <c r="BU83" i="27" s="1"/>
  <c r="BR83" i="27"/>
  <c r="BT83" i="27" s="1"/>
  <c r="BS73" i="27"/>
  <c r="BU73" i="27" s="1"/>
  <c r="BR73" i="27"/>
  <c r="BT73" i="27" s="1"/>
  <c r="BR52" i="27"/>
  <c r="BT52" i="27" s="1"/>
  <c r="BS52" i="27"/>
  <c r="BU52" i="27" s="1"/>
  <c r="BP52" i="27"/>
  <c r="BS97" i="27"/>
  <c r="BU97" i="27" s="1"/>
  <c r="BR97" i="27"/>
  <c r="BT97" i="27" s="1"/>
  <c r="BU84" i="27"/>
  <c r="L47" i="29"/>
  <c r="L18" i="26" s="1"/>
  <c r="R85" i="29"/>
  <c r="BP14" i="27"/>
  <c r="BS14" i="27"/>
  <c r="BU14" i="27" s="1"/>
  <c r="BR14" i="27"/>
  <c r="BT14" i="27" s="1"/>
  <c r="BR102" i="27"/>
  <c r="BT102" i="27" s="1"/>
  <c r="BS102" i="27"/>
  <c r="BU102" i="27" s="1"/>
  <c r="BP102" i="27"/>
  <c r="N73" i="29" l="1"/>
  <c r="L43" i="29"/>
  <c r="Q13" i="26" s="1"/>
  <c r="B13" i="26"/>
  <c r="L46" i="29"/>
  <c r="BU5" i="27"/>
  <c r="O102" i="29"/>
  <c r="L29" i="29"/>
  <c r="L38" i="29" s="1"/>
  <c r="BU8" i="27"/>
  <c r="S103" i="29"/>
  <c r="BT5" i="27"/>
  <c r="N102" i="29"/>
  <c r="L28" i="29"/>
  <c r="L37" i="29" s="1"/>
  <c r="BT23" i="27"/>
  <c r="N103" i="29"/>
  <c r="O104" i="29"/>
  <c r="R104" i="29"/>
  <c r="S104" i="29"/>
  <c r="N72" i="29"/>
  <c r="BT8" i="27"/>
  <c r="R103" i="29"/>
  <c r="N104" i="29"/>
  <c r="BT6" i="27"/>
  <c r="R102" i="29"/>
  <c r="M28" i="29"/>
  <c r="M37" i="29" s="1"/>
  <c r="BU23" i="27"/>
  <c r="O103" i="29"/>
  <c r="BU6" i="27"/>
  <c r="S102" i="29"/>
  <c r="M29" i="29"/>
  <c r="M38" i="29" s="1"/>
  <c r="G13" i="26" l="1"/>
  <c r="L45" i="29"/>
  <c r="G18" i="26" s="1"/>
  <c r="L13" i="26"/>
  <c r="L44" i="29"/>
  <c r="B18" i="26" s="1"/>
</calcChain>
</file>

<file path=xl/sharedStrings.xml><?xml version="1.0" encoding="utf-8"?>
<sst xmlns="http://schemas.openxmlformats.org/spreadsheetml/2006/main" count="13994" uniqueCount="728">
  <si>
    <t>EV–ICE TAT Master Summary</t>
  </si>
  <si>
    <t>Generated</t>
  </si>
  <si>
    <t>06-10-2026 23:20:45</t>
  </si>
  <si>
    <t>Workbook Structure</t>
  </si>
  <si>
    <t>Total Pairs</t>
  </si>
  <si>
    <t>01_All_Pairs</t>
  </si>
  <si>
    <t>All 54 INTERCITY pair-level tables + charts</t>
  </si>
  <si>
    <t>INTERCITY Pairs</t>
  </si>
  <si>
    <t>02_INTERCITY</t>
  </si>
  <si>
    <t>All INTERCITY pair-level tables + charts</t>
  </si>
  <si>
    <t>Same-Day Pairs</t>
  </si>
  <si>
    <t>03_Same_Day_All</t>
  </si>
  <si>
    <t>All same-calendar-day INTERCITY pair tables + charts</t>
  </si>
  <si>
    <t>Different-Day / Similar-Time Pairs</t>
  </si>
  <si>
    <t>04_Same_Day_INTERCITY</t>
  </si>
  <si>
    <t>Same-calendar-day INTERCITY pair tables + charts</t>
  </si>
  <si>
    <t>05_Diff_Day_Time_All</t>
  </si>
  <si>
    <t>Different-day INTERCITY pairs within 2 hours</t>
  </si>
  <si>
    <t>06_Diff_Day_Time_INTERCITY</t>
  </si>
  <si>
    <t>Route-wise Pair Index</t>
  </si>
  <si>
    <t>Route-group sheets</t>
  </si>
  <si>
    <t>One complete set of three tables + charts for every INTERCITY route group; both directions are retained together</t>
  </si>
  <si>
    <t>Route-direction sheets</t>
  </si>
  <si>
    <t>One complete set of three tables + charts for every INTERCITY direction, such as Chennai → Pondicherry</t>
  </si>
  <si>
    <t>Category</t>
  </si>
  <si>
    <t>Route</t>
  </si>
  <si>
    <t>Pair Count</t>
  </si>
  <si>
    <t>Route Sheet</t>
  </si>
  <si>
    <t>INTERCITY</t>
  </si>
  <si>
    <t>Chennai ↔ Pondicherry</t>
  </si>
  <si>
    <t>R01_Chennai_Pondicherry</t>
  </si>
  <si>
    <t>Madhuravoyal to Madiwala</t>
  </si>
  <si>
    <t>R02_Madhuravoyal_to_Madiwala</t>
  </si>
  <si>
    <t>Madiwala to Madhuravoyal</t>
  </si>
  <si>
    <t>R03_Madiwala_to_Madhuravoyal</t>
  </si>
  <si>
    <t>Maduravoyal ↔ Silk Board</t>
  </si>
  <si>
    <t>R04_Maduravoyal_Silk_Board</t>
  </si>
  <si>
    <t>Route-Direction + Pair-Class Sheet Index</t>
  </si>
  <si>
    <t>Direction</t>
  </si>
  <si>
    <t>Pair Class</t>
  </si>
  <si>
    <t>Sheet</t>
  </si>
  <si>
    <t>Chennai → Pondicherry</t>
  </si>
  <si>
    <t>STRICT</t>
  </si>
  <si>
    <t>D01_Chennai_to_Pondicherry_STRI</t>
  </si>
  <si>
    <t>NONSTRICT</t>
  </si>
  <si>
    <t>D02_Chennai_to_Pondicherry_NONS</t>
  </si>
  <si>
    <t>D03_Madhuravoyal_to_Madiwala_ST</t>
  </si>
  <si>
    <t>D04_Madhuravoyal_to_Madiwala_NO</t>
  </si>
  <si>
    <t>D05_Madiwala_to_Madhuravoyal_ST</t>
  </si>
  <si>
    <t>D06_Madiwala_to_Madhuravoyal_NO</t>
  </si>
  <si>
    <t>Maduravoyal → Silk Board</t>
  </si>
  <si>
    <t>D07_Maduravoyal_to_Silk_Board_N</t>
  </si>
  <si>
    <t>Pondicherry → Chennai</t>
  </si>
  <si>
    <t>D08_Pondicherry_to_Chennai_STRI</t>
  </si>
  <si>
    <t>D09_Pondicherry_to_Chennai_NONS</t>
  </si>
  <si>
    <t>Silk Board → Maduravoyal</t>
  </si>
  <si>
    <t>D10_Silk_Board_to_Maduravoyal_S</t>
  </si>
  <si>
    <t>D11_Silk_Board_to_Maduravoyal_N</t>
  </si>
  <si>
    <t>Table 1: ALL PAIRS - EV vs ICE Trip Summary</t>
  </si>
  <si>
    <t>Pair</t>
  </si>
  <si>
    <t>Pair ID</t>
  </si>
  <si>
    <t>Route Group</t>
  </si>
  <si>
    <t>Trips</t>
  </si>
  <si>
    <t>EV Date</t>
  </si>
  <si>
    <t>ICE Date</t>
  </si>
  <si>
    <t>EV Distance (km)</t>
  </si>
  <si>
    <t>ICE Distance (km)</t>
  </si>
  <si>
    <t>EV TAT (min)</t>
  </si>
  <si>
    <t>ICE TAT (min)</t>
  </si>
  <si>
    <t>EV Start Time</t>
  </si>
  <si>
    <t>EV End Time</t>
  </si>
  <si>
    <t>ICE Start Time</t>
  </si>
  <si>
    <t>ICE End Time</t>
  </si>
  <si>
    <t>EV Moving Avg Speed (km/h)</t>
  </si>
  <si>
    <t>ICE Moving Avg Speed (km/h)</t>
  </si>
  <si>
    <t>PAIR_001</t>
  </si>
  <si>
    <t>SilkBoard to Madhuravoyal</t>
  </si>
  <si>
    <t>05-07-2026</t>
  </si>
  <si>
    <t>29-07-2026</t>
  </si>
  <si>
    <t>08:36:08</t>
  </si>
  <si>
    <t>14:19:59</t>
  </si>
  <si>
    <t>22:58:13</t>
  </si>
  <si>
    <t>04:09:43</t>
  </si>
  <si>
    <t>PAIR_002</t>
  </si>
  <si>
    <t>05-09-2026</t>
  </si>
  <si>
    <t>23:15:55</t>
  </si>
  <si>
    <t>04:14:56</t>
  </si>
  <si>
    <t>PAIR_003</t>
  </si>
  <si>
    <t>Madhuravoyal to SilkBoard</t>
  </si>
  <si>
    <t>10-07-2026</t>
  </si>
  <si>
    <t>31-07-2026</t>
  </si>
  <si>
    <t>00:24:16</t>
  </si>
  <si>
    <t>06:09:53</t>
  </si>
  <si>
    <t>23:25:13</t>
  </si>
  <si>
    <t>05:23:37</t>
  </si>
  <si>
    <t>PAIR_004</t>
  </si>
  <si>
    <t>Chennai to Pondicherry</t>
  </si>
  <si>
    <t>15-07-2026</t>
  </si>
  <si>
    <t>09:22:41</t>
  </si>
  <si>
    <t>13:23:07</t>
  </si>
  <si>
    <t>11:20:23</t>
  </si>
  <si>
    <t>15:54:44</t>
  </si>
  <si>
    <t>PAIR_005</t>
  </si>
  <si>
    <t>17-07-2026</t>
  </si>
  <si>
    <t>09:56:19</t>
  </si>
  <si>
    <t>13:25:55</t>
  </si>
  <si>
    <t>11:43:51</t>
  </si>
  <si>
    <t>15:25:00</t>
  </si>
  <si>
    <t>PAIR_006</t>
  </si>
  <si>
    <t>07:51:32</t>
  </si>
  <si>
    <t>11:33:03</t>
  </si>
  <si>
    <t>PAIR_007</t>
  </si>
  <si>
    <t>19-07-2026</t>
  </si>
  <si>
    <t>09:38:15</t>
  </si>
  <si>
    <t>13:31:09</t>
  </si>
  <si>
    <t>11:08:45</t>
  </si>
  <si>
    <t>15:37:58</t>
  </si>
  <si>
    <t>PAIR_008</t>
  </si>
  <si>
    <t>09:10:36</t>
  </si>
  <si>
    <t>12:30:22</t>
  </si>
  <si>
    <t>11:22:01</t>
  </si>
  <si>
    <t>PAIR_009</t>
  </si>
  <si>
    <t>25-09-2026</t>
  </si>
  <si>
    <t>08:26:24</t>
  </si>
  <si>
    <t>14:27:10</t>
  </si>
  <si>
    <t>19:12:44</t>
  </si>
  <si>
    <t>PAIR_010</t>
  </si>
  <si>
    <t>13:45:53</t>
  </si>
  <si>
    <t>17:53:09</t>
  </si>
  <si>
    <t>PAIR_011</t>
  </si>
  <si>
    <t>Pondicherry to Chennai</t>
  </si>
  <si>
    <t>16-07-2026</t>
  </si>
  <si>
    <t>14:16:16</t>
  </si>
  <si>
    <t>18:17:39</t>
  </si>
  <si>
    <t>16:37:54</t>
  </si>
  <si>
    <t>20:39:30</t>
  </si>
  <si>
    <t>PAIR_012</t>
  </si>
  <si>
    <t>18-07-2026</t>
  </si>
  <si>
    <t>17:36:09</t>
  </si>
  <si>
    <t>16:20:34</t>
  </si>
  <si>
    <t>20:12:27</t>
  </si>
  <si>
    <t>PAIR_013</t>
  </si>
  <si>
    <t>14:14:38</t>
  </si>
  <si>
    <t>18:26:21</t>
  </si>
  <si>
    <t>PAIR_014</t>
  </si>
  <si>
    <t>20-07-2026</t>
  </si>
  <si>
    <t>14:52:08</t>
  </si>
  <si>
    <t>18:17:53</t>
  </si>
  <si>
    <t>16:56:44</t>
  </si>
  <si>
    <t>20:11:41</t>
  </si>
  <si>
    <t>PAIR_015</t>
  </si>
  <si>
    <t>14:14:55</t>
  </si>
  <si>
    <t>17:57:57</t>
  </si>
  <si>
    <t>PAIR_016</t>
  </si>
  <si>
    <t>26-09-2026</t>
  </si>
  <si>
    <t>18:52:23</t>
  </si>
  <si>
    <t>16:16:08</t>
  </si>
  <si>
    <t>21:07:29</t>
  </si>
  <si>
    <t>PAIR_017</t>
  </si>
  <si>
    <t>14:31:24</t>
  </si>
  <si>
    <t>18:34:00</t>
  </si>
  <si>
    <t>20:40:25</t>
  </si>
  <si>
    <t>PAIR_018</t>
  </si>
  <si>
    <t>08:09:07</t>
  </si>
  <si>
    <t>11:34:46</t>
  </si>
  <si>
    <t>PAIR_019</t>
  </si>
  <si>
    <t>07:59:53</t>
  </si>
  <si>
    <t>11:39:50</t>
  </si>
  <si>
    <t>PAIR_020</t>
  </si>
  <si>
    <t>09:26:56</t>
  </si>
  <si>
    <t>12:33:03</t>
  </si>
  <si>
    <t>PAIR_021</t>
  </si>
  <si>
    <t>07:39:02</t>
  </si>
  <si>
    <t>PAIR_022</t>
  </si>
  <si>
    <t>14:13:59</t>
  </si>
  <si>
    <t>17:55:07</t>
  </si>
  <si>
    <t>PAIR_023</t>
  </si>
  <si>
    <t>17:57:41</t>
  </si>
  <si>
    <t>PAIR_024</t>
  </si>
  <si>
    <t>14:59:13</t>
  </si>
  <si>
    <t>20:11:15</t>
  </si>
  <si>
    <t>PAIR_025</t>
  </si>
  <si>
    <t>17:24:54</t>
  </si>
  <si>
    <t>PAIR_026</t>
  </si>
  <si>
    <t>18:55:44</t>
  </si>
  <si>
    <t>21:07:53</t>
  </si>
  <si>
    <t>PAIR_027</t>
  </si>
  <si>
    <t>18:11:19</t>
  </si>
  <si>
    <t>PAIR_028</t>
  </si>
  <si>
    <t>09:18:36</t>
  </si>
  <si>
    <t>12:34:01</t>
  </si>
  <si>
    <t>15:35:36</t>
  </si>
  <si>
    <t>PAIR_029</t>
  </si>
  <si>
    <t>14:45:59</t>
  </si>
  <si>
    <t>PAIR_030</t>
  </si>
  <si>
    <t>13:56:09</t>
  </si>
  <si>
    <t>18:11:54</t>
  </si>
  <si>
    <t>15:34:22</t>
  </si>
  <si>
    <t>PAIR_031</t>
  </si>
  <si>
    <t>14:51:18</t>
  </si>
  <si>
    <t>17:58:57</t>
  </si>
  <si>
    <t>PAIR_032</t>
  </si>
  <si>
    <t>00:01:12</t>
  </si>
  <si>
    <t>05:57:20</t>
  </si>
  <si>
    <t>04:31:39</t>
  </si>
  <si>
    <t>PAIR_033</t>
  </si>
  <si>
    <t>00:02:48</t>
  </si>
  <si>
    <t>05:52:52</t>
  </si>
  <si>
    <t>23:17:40</t>
  </si>
  <si>
    <t>04:34:59</t>
  </si>
  <si>
    <t>PAIR_034</t>
  </si>
  <si>
    <t>18:27:46</t>
  </si>
  <si>
    <t>PAIR_035</t>
  </si>
  <si>
    <t>15:19:03</t>
  </si>
  <si>
    <t>PAIR_036</t>
  </si>
  <si>
    <t>00:04:24</t>
  </si>
  <si>
    <t>08:02:01</t>
  </si>
  <si>
    <t>05:25:45</t>
  </si>
  <si>
    <t>PAIR_037</t>
  </si>
  <si>
    <t>06-09-2026</t>
  </si>
  <si>
    <t>00:18:27</t>
  </si>
  <si>
    <t>04:39:51</t>
  </si>
  <si>
    <t>03:20:51</t>
  </si>
  <si>
    <t>PAIR_038</t>
  </si>
  <si>
    <t>11-09-2026</t>
  </si>
  <si>
    <t>23:17:00</t>
  </si>
  <si>
    <t>05:52:00</t>
  </si>
  <si>
    <t>23:27:11</t>
  </si>
  <si>
    <t>05:42:08</t>
  </si>
  <si>
    <t>PAIR_039</t>
  </si>
  <si>
    <t>18-09-2026</t>
  </si>
  <si>
    <t>23:19:37</t>
  </si>
  <si>
    <t>17:17:37</t>
  </si>
  <si>
    <t>00:09:30</t>
  </si>
  <si>
    <t>PAIR_040</t>
  </si>
  <si>
    <t>02-10-2026</t>
  </si>
  <si>
    <t>23:29:56</t>
  </si>
  <si>
    <t>04:49:26</t>
  </si>
  <si>
    <t>PAIR_041</t>
  </si>
  <si>
    <t>23:13:07</t>
  </si>
  <si>
    <t>05:06:58</t>
  </si>
  <si>
    <t>05:39:44</t>
  </si>
  <si>
    <t>PAIR_042</t>
  </si>
  <si>
    <t>12-09-2026</t>
  </si>
  <si>
    <t>23:20:57</t>
  </si>
  <si>
    <t>06:06:43</t>
  </si>
  <si>
    <t>23:13:05</t>
  </si>
  <si>
    <t>04:38:29</t>
  </si>
  <si>
    <t>PAIR_043</t>
  </si>
  <si>
    <t>20-09-2026</t>
  </si>
  <si>
    <t>22:40:31</t>
  </si>
  <si>
    <t>06:06:58</t>
  </si>
  <si>
    <t>12:12:58</t>
  </si>
  <si>
    <t>17:54:24</t>
  </si>
  <si>
    <t>PAIR_044</t>
  </si>
  <si>
    <t>11:26:04</t>
  </si>
  <si>
    <t>18:14:41</t>
  </si>
  <si>
    <t>23:17:34</t>
  </si>
  <si>
    <t>04:42:50</t>
  </si>
  <si>
    <t>PAIR_045</t>
  </si>
  <si>
    <t>03-10-2026</t>
  </si>
  <si>
    <t>22:00:02</t>
  </si>
  <si>
    <t>03:49:27</t>
  </si>
  <si>
    <t>PAIR_046</t>
  </si>
  <si>
    <t>22:22:51</t>
  </si>
  <si>
    <t>04:57:29</t>
  </si>
  <si>
    <t>PAIR_047</t>
  </si>
  <si>
    <t>17:14:54</t>
  </si>
  <si>
    <t>00:07:23</t>
  </si>
  <si>
    <t>PAIR_048</t>
  </si>
  <si>
    <t>18:16:48</t>
  </si>
  <si>
    <t>12:14:31</t>
  </si>
  <si>
    <t>18:02:40</t>
  </si>
  <si>
    <t>PAIR_049</t>
  </si>
  <si>
    <t>18:13:48</t>
  </si>
  <si>
    <t>22:06:43</t>
  </si>
  <si>
    <t>03:52:46</t>
  </si>
  <si>
    <t>PAIR_050</t>
  </si>
  <si>
    <t>21:59:13</t>
  </si>
  <si>
    <t>04:59:52</t>
  </si>
  <si>
    <t>18:04:43</t>
  </si>
  <si>
    <t>PAIR_051</t>
  </si>
  <si>
    <t>13:29:18</t>
  </si>
  <si>
    <t>PAIR_052</t>
  </si>
  <si>
    <t>14:31:12</t>
  </si>
  <si>
    <t>18:55:10</t>
  </si>
  <si>
    <t>21:02:28</t>
  </si>
  <si>
    <t>PAIR_053</t>
  </si>
  <si>
    <t>04:47:52</t>
  </si>
  <si>
    <t>PAIR_054</t>
  </si>
  <si>
    <t>04:56:35</t>
  </si>
  <si>
    <t>Table 2: ALL PAIRS - Phase Time Comparison (min)</t>
  </si>
  <si>
    <t>Vehicle</t>
  </si>
  <si>
    <t>CHARGING / REFUELING</t>
  </si>
  <si>
    <t>STOP</t>
  </si>
  <si>
    <t>IDLE</t>
  </si>
  <si>
    <t>INCHING</t>
  </si>
  <si>
    <t>ACC</t>
  </si>
  <si>
    <t>DEC</t>
  </si>
  <si>
    <t>CRUISE</t>
  </si>
  <si>
    <t>EV</t>
  </si>
  <si>
    <t>ICE</t>
  </si>
  <si>
    <t>Table 3: ALL PAIRS - Phase Distance Comparison (km)</t>
  </si>
  <si>
    <t>Table 1: INTERCITY - EV vs ICE Trip Summary</t>
  </si>
  <si>
    <t>Table 2: INTERCITY - Phase Time Comparison (min)</t>
  </si>
  <si>
    <t>Table 3: INTERCITY - Phase Distance Comparison (km)</t>
  </si>
  <si>
    <t>Table 1: SAME-DAY EV-ICE PAIRS - EV vs ICE Trip Summary</t>
  </si>
  <si>
    <t>Same-Day Pair</t>
  </si>
  <si>
    <t>Common Date</t>
  </si>
  <si>
    <t>YES</t>
  </si>
  <si>
    <t>Table 2: SAME-DAY EV-ICE PAIRS - Phase Time Comparison (min)</t>
  </si>
  <si>
    <t>Table 3: SAME-DAY EV-ICE PAIRS - Phase Distance Comparison (km)</t>
  </si>
  <si>
    <t>Table 1: SAME-DAY INTERCITY - EV vs ICE Trip Summary</t>
  </si>
  <si>
    <t>Table 2: SAME-DAY INTERCITY - Phase Time Comparison (min)</t>
  </si>
  <si>
    <t>Table 3: SAME-DAY INTERCITY - Phase Distance Comparison (km)</t>
  </si>
  <si>
    <t>Table 1: DIFFERENT-DAY EV-ICE PAIRS WITHIN 2 HOURS - EV vs ICE Trip Summary</t>
  </si>
  <si>
    <t>Different-Day Pair</t>
  </si>
  <si>
    <t>Start-Time Difference (min)</t>
  </si>
  <si>
    <t>Allowed Difference (min)</t>
  </si>
  <si>
    <t>Within 2 Hours</t>
  </si>
  <si>
    <t>Table 2: DIFFERENT-DAY EV-ICE PAIRS WITHIN 2 HOURS - Phase Time Comparison (min)</t>
  </si>
  <si>
    <t>Table 3: DIFFERENT-DAY EV-ICE PAIRS WITHIN 2 HOURS - Phase Distance Comparison (km)</t>
  </si>
  <si>
    <t>Table 1: DIFFERENT-DAY INTERCITY WITHIN 2 HOURS - EV vs ICE Trip Summary</t>
  </si>
  <si>
    <t>Table 2: DIFFERENT-DAY INTERCITY WITHIN 2 HOURS - Phase Time Comparison (min)</t>
  </si>
  <si>
    <t>Table 3: DIFFERENT-DAY INTERCITY WITHIN 2 HOURS - Phase Distance Comparison (km)</t>
  </si>
  <si>
    <t>Table 1: ALL STRICT PAIRS - EV vs ICE Trip Summary</t>
  </si>
  <si>
    <t>Table 2: ALL STRICT PAIRS - Phase Time Comparison (min)</t>
  </si>
  <si>
    <t>Table 3: ALL STRICT PAIRS - Phase Distance Comparison (km)</t>
  </si>
  <si>
    <t>Table 1: ALL NONSTRICT PAIRS - EV vs ICE Trip Summary</t>
  </si>
  <si>
    <t>Table 2: ALL NONSTRICT PAIRS - Phase Time Comparison (min)</t>
  </si>
  <si>
    <t>Table 3: ALL NONSTRICT PAIRS - Phase Distance Comparison (km)</t>
  </si>
  <si>
    <t>Table 1: STRICT + NONSTRICT COMBINED - EV vs ICE Trip Summary</t>
  </si>
  <si>
    <t>Table 2: STRICT + NONSTRICT COMBINED - Phase Time Comparison (min)</t>
  </si>
  <si>
    <t>Table 3: STRICT + NONSTRICT COMBINED - Phase Distance Comparison (km)</t>
  </si>
  <si>
    <t>Table 1: ROUTE DIRECTION: Chennai → Pondicherry | STRICT - EV vs ICE Trip Summary</t>
  </si>
  <si>
    <t>Table 2: ROUTE DIRECTION: Chennai → Pondicherry | STRICT - Phase Time Comparison (min)</t>
  </si>
  <si>
    <t>Table 3: ROUTE DIRECTION: Chennai → Pondicherry | STRICT - Phase Distance Comparison (km)</t>
  </si>
  <si>
    <t>Table 1: ROUTE DIRECTION: Chennai → Pondicherry | NONSTRICT - EV vs ICE Trip Summary</t>
  </si>
  <si>
    <t>Table 2: ROUTE DIRECTION: Chennai → Pondicherry | NONSTRICT - Phase Time Comparison (min)</t>
  </si>
  <si>
    <t>Table 3: ROUTE DIRECTION: Chennai → Pondicherry | NONSTRICT - Phase Distance Comparison (km)</t>
  </si>
  <si>
    <t>Table 1: ROUTE DIRECTION: Madhuravoyal to Madiwala | STRICT - EV vs ICE Trip Summary</t>
  </si>
  <si>
    <t>Table 2: ROUTE DIRECTION: Madhuravoyal to Madiwala | STRICT - Phase Time Comparison (min)</t>
  </si>
  <si>
    <t>Table 3: ROUTE DIRECTION: Madhuravoyal to Madiwala | STRICT - Phase Distance Comparison (km)</t>
  </si>
  <si>
    <t>Table 1: ROUTE DIRECTION: Madhuravoyal to Madiwala | NONSTRICT - EV vs ICE Trip Summary</t>
  </si>
  <si>
    <t>Table 2: ROUTE DIRECTION: Madhuravoyal to Madiwala | NONSTRICT - Phase Time Comparison (min)</t>
  </si>
  <si>
    <t>Table 3: ROUTE DIRECTION: Madhuravoyal to Madiwala | NONSTRICT - Phase Distance Comparison (km)</t>
  </si>
  <si>
    <t>Table 1: ROUTE DIRECTION: Madiwala to Madhuravoyal | STRICT - EV vs ICE Trip Summary</t>
  </si>
  <si>
    <t>Table 2: ROUTE DIRECTION: Madiwala to Madhuravoyal | STRICT - Phase Time Comparison (min)</t>
  </si>
  <si>
    <t>Table 3: ROUTE DIRECTION: Madiwala to Madhuravoyal | STRICT - Phase Distance Comparison (km)</t>
  </si>
  <si>
    <t>Table 1: ROUTE DIRECTION: Madiwala to Madhuravoyal | NONSTRICT - EV vs ICE Trip Summary</t>
  </si>
  <si>
    <t>Table 2: ROUTE DIRECTION: Madiwala to Madhuravoyal | NONSTRICT - Phase Time Comparison (min)</t>
  </si>
  <si>
    <t>Table 3: ROUTE DIRECTION: Madiwala to Madhuravoyal | NONSTRICT - Phase Distance Comparison (km)</t>
  </si>
  <si>
    <t>Table 1: ROUTE DIRECTION: Maduravoyal → Silk Board | NONSTRICT - EV vs ICE Trip Summary</t>
  </si>
  <si>
    <t>Table 2: ROUTE DIRECTION: Maduravoyal → Silk Board | NONSTRICT - Phase Time Comparison (min)</t>
  </si>
  <si>
    <t>Table 3: ROUTE DIRECTION: Maduravoyal → Silk Board | NONSTRICT - Phase Distance Comparison (km)</t>
  </si>
  <si>
    <t>Table 1: ROUTE DIRECTION: Pondicherry → Chennai | STRICT - EV vs ICE Trip Summary</t>
  </si>
  <si>
    <t>Table 2: ROUTE DIRECTION: Pondicherry → Chennai | STRICT - Phase Time Comparison (min)</t>
  </si>
  <si>
    <t>Table 3: ROUTE DIRECTION: Pondicherry → Chennai | STRICT - Phase Distance Comparison (km)</t>
  </si>
  <si>
    <t>Table 1: ROUTE DIRECTION: Pondicherry → Chennai | NONSTRICT - EV vs ICE Trip Summary</t>
  </si>
  <si>
    <t>Table 2: ROUTE DIRECTION: Pondicherry → Chennai | NONSTRICT - Phase Time Comparison (min)</t>
  </si>
  <si>
    <t>Table 3: ROUTE DIRECTION: Pondicherry → Chennai | NONSTRICT - Phase Distance Comparison (km)</t>
  </si>
  <si>
    <t>Table 1: ROUTE DIRECTION: Silk Board → Maduravoyal | STRICT - EV vs ICE Trip Summary</t>
  </si>
  <si>
    <t>Table 2: ROUTE DIRECTION: Silk Board → Maduravoyal | STRICT - Phase Time Comparison (min)</t>
  </si>
  <si>
    <t>Table 3: ROUTE DIRECTION: Silk Board → Maduravoyal | STRICT - Phase Distance Comparison (km)</t>
  </si>
  <si>
    <t>Table 1: ROUTE DIRECTION: Silk Board → Maduravoyal | NONSTRICT - EV vs ICE Trip Summary</t>
  </si>
  <si>
    <t>Table 2: ROUTE DIRECTION: Silk Board → Maduravoyal | NONSTRICT - Phase Time Comparison (min)</t>
  </si>
  <si>
    <t>Table 3: ROUTE DIRECTION: Silk Board → Maduravoyal | NONSTRICT - Phase Distance Comparison (km)</t>
  </si>
  <si>
    <t>Table 1: ROUTE GROUP: Chennai ↔ Pondicherry - EV vs ICE Trip Summary</t>
  </si>
  <si>
    <t>Table 2: ROUTE GROUP: Chennai ↔ Pondicherry - Phase Time Comparison (min)</t>
  </si>
  <si>
    <t>Table 3: ROUTE GROUP: Chennai ↔ Pondicherry - Phase Distance Comparison (km)</t>
  </si>
  <si>
    <t>Table 1: ROUTE GROUP: Madhuravoyal to Madiwala - EV vs ICE Trip Summary</t>
  </si>
  <si>
    <t>Table 2: ROUTE GROUP: Madhuravoyal to Madiwala - Phase Time Comparison (min)</t>
  </si>
  <si>
    <t>Table 3: ROUTE GROUP: Madhuravoyal to Madiwala - Phase Distance Comparison (km)</t>
  </si>
  <si>
    <t>Table 1: ROUTE GROUP: Madiwala to Madhuravoyal - EV vs ICE Trip Summary</t>
  </si>
  <si>
    <t>Table 2: ROUTE GROUP: Madiwala to Madhuravoyal - Phase Time Comparison (min)</t>
  </si>
  <si>
    <t>Table 3: ROUTE GROUP: Madiwala to Madhuravoyal - Phase Distance Comparison (km)</t>
  </si>
  <si>
    <t>Table 1: ROUTE GROUP: Maduravoyal ↔ Silk Board - EV vs ICE Trip Summary</t>
  </si>
  <si>
    <t>Table 2: ROUTE GROUP: Maduravoyal ↔ Silk Board - Phase Time Comparison (min)</t>
  </si>
  <si>
    <t>Table 3: ROUTE GROUP: Maduravoyal ↔ Silk Board - Phase Distance Comparison (km)</t>
  </si>
  <si>
    <t>Trip inputs and energy calculations</t>
  </si>
  <si>
    <t>A:U come from 01_All_Pairs. V:Z are optional inputs. AA:BX are formulas. ICE is displayed as Diesel.</t>
  </si>
  <si>
    <t>Trip ID</t>
  </si>
  <si>
    <t>Date</t>
  </si>
  <si>
    <t>Bus Type</t>
  </si>
  <si>
    <t>Corridor</t>
  </si>
  <si>
    <t>Start Time</t>
  </si>
  <si>
    <t>t Charging (min)</t>
  </si>
  <si>
    <t>t Stop (min)</t>
  </si>
  <si>
    <t>t Idle (min)</t>
  </si>
  <si>
    <t>t Inching (min)</t>
  </si>
  <si>
    <t>t Acc (min)</t>
  </si>
  <si>
    <t>t Dec (min)</t>
  </si>
  <si>
    <t>t Cruise (min)</t>
  </si>
  <si>
    <t>d Charging (km)</t>
  </si>
  <si>
    <t>d Stop (km)</t>
  </si>
  <si>
    <t>d Idle (km)</t>
  </si>
  <si>
    <t>d Inching (km)</t>
  </si>
  <si>
    <t>d Acc (km)</t>
  </si>
  <si>
    <t>d Dec (km)</t>
  </si>
  <si>
    <t>d Cruise (km)</t>
  </si>
  <si>
    <t>Passengers</t>
  </si>
  <si>
    <t>Ambient temp (C)</t>
  </si>
  <si>
    <t>Accel measured (m/s2)</t>
  </si>
  <si>
    <t>Measured EV energy (kWh)</t>
  </si>
  <si>
    <t>Measured diesel (L)</t>
  </si>
  <si>
    <t>Data check</t>
  </si>
  <si>
    <t>Month</t>
  </si>
  <si>
    <t>Unique trip</t>
  </si>
  <si>
    <t>Flag route</t>
  </si>
  <si>
    <t>Flag period</t>
  </si>
  <si>
    <t>Flag all</t>
  </si>
  <si>
    <t>Net elevation (m)</t>
  </si>
  <si>
    <t>Mass (kg)</t>
  </si>
  <si>
    <t>Accel used (m/s2)</t>
  </si>
  <si>
    <t>Aux power (kW)</t>
  </si>
  <si>
    <t>Distance (km)</t>
  </si>
  <si>
    <t>Trip time incl charging (h)</t>
  </si>
  <si>
    <t>Operating time (h)</t>
  </si>
  <si>
    <t>Stationary time (h)</t>
  </si>
  <si>
    <t>Moving time (h)</t>
  </si>
  <si>
    <t>Moving speed (km/h)</t>
  </si>
  <si>
    <t>v Inching (km/h)</t>
  </si>
  <si>
    <t>v Acc (km/h)</t>
  </si>
  <si>
    <t>v Dec (km/h)</t>
  </si>
  <si>
    <t>v Cruise (km/h)</t>
  </si>
  <si>
    <t>Road-load traction (kWh)</t>
  </si>
  <si>
    <t>Road-load Dec (kWh)</t>
  </si>
  <si>
    <t>Inertial energy (kWh)</t>
  </si>
  <si>
    <t>Grade energy (kWh)</t>
  </si>
  <si>
    <t>Road-load net (kWh)</t>
  </si>
  <si>
    <t>Gradient wheel (kWh)</t>
  </si>
  <si>
    <t>Braking energy (kWh)</t>
  </si>
  <si>
    <t>Wheel energy (kWh)</t>
  </si>
  <si>
    <t>Propulsion energy (kWh)</t>
  </si>
  <si>
    <t>Auxiliary energy (kWh)</t>
  </si>
  <si>
    <t>Idle fuel energy (kWh)</t>
  </si>
  <si>
    <t>Regen recovered (kWh)</t>
  </si>
  <si>
    <t>Modelled energy (kWh)</t>
  </si>
  <si>
    <t>Measured energy (kWh eq)</t>
  </si>
  <si>
    <t>Calibration factor</t>
  </si>
  <si>
    <t>Energy consumed (kWh)</t>
  </si>
  <si>
    <t>Energy consumed (MJ)</t>
  </si>
  <si>
    <t>Diesel consumed (L)</t>
  </si>
  <si>
    <t>EV grid energy (kWh)</t>
  </si>
  <si>
    <t>SEC (kWh/km)</t>
  </si>
  <si>
    <t>Efficiency (km/kWh)</t>
  </si>
  <si>
    <t>Fuel economy (km/L)</t>
  </si>
  <si>
    <t>Powertrain efficiency (%)</t>
  </si>
  <si>
    <t>Energy cost (INR)</t>
  </si>
  <si>
    <t>CO2 (kg)</t>
  </si>
  <si>
    <t>Cost per km (INR/km)</t>
  </si>
  <si>
    <t>CO2 per km (kg/km)</t>
  </si>
  <si>
    <t>Model error vs measured</t>
  </si>
  <si>
    <t>Chart SEC EV</t>
  </si>
  <si>
    <t>Chart SEC Diesel</t>
  </si>
  <si>
    <t>PAIR_001_EV</t>
  </si>
  <si>
    <t>PAIR_001_ICE</t>
  </si>
  <si>
    <t>Diesel</t>
  </si>
  <si>
    <t>PAIR_002_EV</t>
  </si>
  <si>
    <t>PAIR_002_ICE</t>
  </si>
  <si>
    <t>PAIR_003_EV</t>
  </si>
  <si>
    <t>PAIR_003_ICE</t>
  </si>
  <si>
    <t>PAIR_004_EV</t>
  </si>
  <si>
    <t>PAIR_004_ICE</t>
  </si>
  <si>
    <t>PAIR_005_EV</t>
  </si>
  <si>
    <t>PAIR_005_ICE</t>
  </si>
  <si>
    <t>PAIR_006_EV</t>
  </si>
  <si>
    <t>PAIR_006_ICE</t>
  </si>
  <si>
    <t>PAIR_007_EV</t>
  </si>
  <si>
    <t>PAIR_007_ICE</t>
  </si>
  <si>
    <t>PAIR_008_EV</t>
  </si>
  <si>
    <t>PAIR_008_ICE</t>
  </si>
  <si>
    <t>PAIR_009_EV</t>
  </si>
  <si>
    <t>PAIR_009_ICE</t>
  </si>
  <si>
    <t>PAIR_010_EV</t>
  </si>
  <si>
    <t>PAIR_010_ICE</t>
  </si>
  <si>
    <t>PAIR_011_EV</t>
  </si>
  <si>
    <t>PAIR_011_ICE</t>
  </si>
  <si>
    <t>PAIR_012_EV</t>
  </si>
  <si>
    <t>PAIR_012_ICE</t>
  </si>
  <si>
    <t>PAIR_013_EV</t>
  </si>
  <si>
    <t>PAIR_013_ICE</t>
  </si>
  <si>
    <t>PAIR_014_EV</t>
  </si>
  <si>
    <t>PAIR_014_ICE</t>
  </si>
  <si>
    <t>PAIR_015_EV</t>
  </si>
  <si>
    <t>PAIR_015_ICE</t>
  </si>
  <si>
    <t>PAIR_016_EV</t>
  </si>
  <si>
    <t>PAIR_016_ICE</t>
  </si>
  <si>
    <t>PAIR_017_EV</t>
  </si>
  <si>
    <t>PAIR_017_ICE</t>
  </si>
  <si>
    <t>PAIR_018_EV</t>
  </si>
  <si>
    <t>PAIR_018_ICE</t>
  </si>
  <si>
    <t>PAIR_019_EV</t>
  </si>
  <si>
    <t>PAIR_019_ICE</t>
  </si>
  <si>
    <t>PAIR_020_EV</t>
  </si>
  <si>
    <t>PAIR_020_ICE</t>
  </si>
  <si>
    <t>PAIR_021_EV</t>
  </si>
  <si>
    <t>PAIR_021_ICE</t>
  </si>
  <si>
    <t>PAIR_022_EV</t>
  </si>
  <si>
    <t>PAIR_022_ICE</t>
  </si>
  <si>
    <t>PAIR_023_EV</t>
  </si>
  <si>
    <t>PAIR_023_ICE</t>
  </si>
  <si>
    <t>PAIR_024_EV</t>
  </si>
  <si>
    <t>PAIR_024_ICE</t>
  </si>
  <si>
    <t>PAIR_025_EV</t>
  </si>
  <si>
    <t>PAIR_025_ICE</t>
  </si>
  <si>
    <t>PAIR_026_EV</t>
  </si>
  <si>
    <t>PAIR_026_ICE</t>
  </si>
  <si>
    <t>PAIR_027_EV</t>
  </si>
  <si>
    <t>PAIR_027_ICE</t>
  </si>
  <si>
    <t>PAIR_028_EV</t>
  </si>
  <si>
    <t>PAIR_028_ICE</t>
  </si>
  <si>
    <t>PAIR_029_EV</t>
  </si>
  <si>
    <t>PAIR_029_ICE</t>
  </si>
  <si>
    <t>PAIR_030_EV</t>
  </si>
  <si>
    <t>PAIR_030_ICE</t>
  </si>
  <si>
    <t>PAIR_031_EV</t>
  </si>
  <si>
    <t>PAIR_031_ICE</t>
  </si>
  <si>
    <t>PAIR_032_EV</t>
  </si>
  <si>
    <t>PAIR_032_ICE</t>
  </si>
  <si>
    <t>PAIR_033_EV</t>
  </si>
  <si>
    <t>PAIR_033_ICE</t>
  </si>
  <si>
    <t>PAIR_034_EV</t>
  </si>
  <si>
    <t>PAIR_034_ICE</t>
  </si>
  <si>
    <t>PAIR_035_EV</t>
  </si>
  <si>
    <t>PAIR_035_ICE</t>
  </si>
  <si>
    <t>PAIR_036_EV</t>
  </si>
  <si>
    <t>PAIR_036_ICE</t>
  </si>
  <si>
    <t>PAIR_037_EV</t>
  </si>
  <si>
    <t>PAIR_037_ICE</t>
  </si>
  <si>
    <t>PAIR_038_EV</t>
  </si>
  <si>
    <t>Maduravoyal ↔ Madiwala</t>
  </si>
  <si>
    <t>Maduravoyal → Madiwala</t>
  </si>
  <si>
    <t>PAIR_038_ICE</t>
  </si>
  <si>
    <t>PAIR_039_EV</t>
  </si>
  <si>
    <t>PAIR_039_ICE</t>
  </si>
  <si>
    <t>PAIR_040_EV</t>
  </si>
  <si>
    <t>PAIR_040_ICE</t>
  </si>
  <si>
    <t>PAIR_041_EV</t>
  </si>
  <si>
    <t>PAIR_041_ICE</t>
  </si>
  <si>
    <t>PAIR_042_EV</t>
  </si>
  <si>
    <t>Madiwala → Maduravoyal</t>
  </si>
  <si>
    <t>PAIR_042_ICE</t>
  </si>
  <si>
    <t>PAIR_043_EV</t>
  </si>
  <si>
    <t>PAIR_043_ICE</t>
  </si>
  <si>
    <t>PAIR_044_EV</t>
  </si>
  <si>
    <t>PAIR_044_ICE</t>
  </si>
  <si>
    <t>PAIR_045_EV</t>
  </si>
  <si>
    <t>PAIR_045_ICE</t>
  </si>
  <si>
    <t>PAIR_046_EV</t>
  </si>
  <si>
    <t>PAIR_046_ICE</t>
  </si>
  <si>
    <t>PAIR_047_EV</t>
  </si>
  <si>
    <t>PAIR_047_ICE</t>
  </si>
  <si>
    <t>PAIR_048_EV</t>
  </si>
  <si>
    <t>PAIR_048_ICE</t>
  </si>
  <si>
    <t>PAIR_049_EV</t>
  </si>
  <si>
    <t>PAIR_049_ICE</t>
  </si>
  <si>
    <t>PAIR_050_EV</t>
  </si>
  <si>
    <t>PAIR_050_ICE</t>
  </si>
  <si>
    <t>PAIR_051_EV</t>
  </si>
  <si>
    <t>PAIR_051_ICE</t>
  </si>
  <si>
    <t>PAIR_052_EV</t>
  </si>
  <si>
    <t>PAIR_052_ICE</t>
  </si>
  <si>
    <t>PAIR_053_EV</t>
  </si>
  <si>
    <t>PAIR_053_ICE</t>
  </si>
  <si>
    <t>PAIR_054_EV</t>
  </si>
  <si>
    <t>PAIR_054_ICE</t>
  </si>
  <si>
    <t>Energy model and route assumptions</t>
  </si>
  <si>
    <t>Blue cells are editable. Defaults reproduce the reference's passenger/coach assumptions.</t>
  </si>
  <si>
    <t>Parameter</t>
  </si>
  <si>
    <t>Unit</t>
  </si>
  <si>
    <t>Kerb mass</t>
  </si>
  <si>
    <t>kg</t>
  </si>
  <si>
    <t>Default passengers</t>
  </si>
  <si>
    <t>persons</t>
  </si>
  <si>
    <t>Passenger mass including luggage</t>
  </si>
  <si>
    <t>kg/person</t>
  </si>
  <si>
    <t>Default operating mass</t>
  </si>
  <si>
    <t>Rolling resistance coefficient</t>
  </si>
  <si>
    <t>-</t>
  </si>
  <si>
    <t>Drag coefficient</t>
  </si>
  <si>
    <t>Frontal area</t>
  </si>
  <si>
    <t>m²</t>
  </si>
  <si>
    <t>Air density</t>
  </si>
  <si>
    <t>kg/m³</t>
  </si>
  <si>
    <t>Gravitational acceleration</t>
  </si>
  <si>
    <t>m/s²</t>
  </si>
  <si>
    <t>Aerodynamic constant</t>
  </si>
  <si>
    <t>N/(m/s)²</t>
  </si>
  <si>
    <t>Default mean acceleration</t>
  </si>
  <si>
    <t>Motor/inverter or engine efficiency</t>
  </si>
  <si>
    <t>Driveline efficiency</t>
  </si>
  <si>
    <t>Battery discharge efficiency</t>
  </si>
  <si>
    <t>Combined powertrain efficiency</t>
  </si>
  <si>
    <t>Regenerative recovery fraction</t>
  </si>
  <si>
    <t>Descent share offsetting road load</t>
  </si>
  <si>
    <t>Base auxiliary power</t>
  </si>
  <si>
    <t>kW</t>
  </si>
  <si>
    <t>HVAC load above setpoint</t>
  </si>
  <si>
    <t>kW/°C</t>
  </si>
  <si>
    <t>HVAC setpoint</t>
  </si>
  <si>
    <t>°C</t>
  </si>
  <si>
    <t>Default ambient temperature</t>
  </si>
  <si>
    <t>Auxiliary power at default temperature</t>
  </si>
  <si>
    <t>Diesel idle fuel rate</t>
  </si>
  <si>
    <t>L/h</t>
  </si>
  <si>
    <t>Diesel lower heating value</t>
  </si>
  <si>
    <t>MJ/L</t>
  </si>
  <si>
    <t>kWh/L</t>
  </si>
  <si>
    <t>Charger efficiency</t>
  </si>
  <si>
    <t>Electricity tariff</t>
  </si>
  <si>
    <t>INR/kWh</t>
  </si>
  <si>
    <t>Diesel price</t>
  </si>
  <si>
    <t>INR/L</t>
  </si>
  <si>
    <t>Grid emission factor</t>
  </si>
  <si>
    <t>kg/kWh</t>
  </si>
  <si>
    <t>Diesel emission factor</t>
  </si>
  <si>
    <t>kg/L</t>
  </si>
  <si>
    <t>Apply global vehicle-type calibration?</t>
  </si>
  <si>
    <t>Yes</t>
  </si>
  <si>
    <t>No</t>
  </si>
  <si>
    <t>Trips with positive measured consumption</t>
  </si>
  <si>
    <t>Measured energy sum (kWh equivalent)</t>
  </si>
  <si>
    <t>Modelled energy for the same records</t>
  </si>
  <si>
    <t>Methodology</t>
  </si>
  <si>
    <t>Distances are kilometres; phase times are minutes.</t>
  </si>
  <si>
    <t>Operating time excludes charging/refuelling. Moving phases are Inching, Acceleration, Deceleration and Cruise.</t>
  </si>
  <si>
    <t>Mass = kerb mass + passengers × passenger mass.</t>
  </si>
  <si>
    <t>Auxiliary power = base power + HVAC slope × MAX(0, ambient-setpoint).</t>
  </si>
  <si>
    <t>Road load uses rolling resistance and phase-average aerodynamic drag.</t>
  </si>
  <si>
    <t>Inertial energy = mass × acceleration × ACC distance / 3600.</t>
  </si>
  <si>
    <t>Grade energy = mass × gravity × endpoint elevation difference / 3600000.</t>
  </si>
  <si>
    <t>Downhill energy is divided between road-load offset and braking.</t>
  </si>
  <si>
    <t>EV auxiliaries use operating hours. Diesel auxiliaries use moving hours / engine efficiency. Stop + Idle uses idle fuel.</t>
  </si>
  <si>
    <t>EV energy = propulsion + auxiliaries - regeneration. Diesel energy = propulsion + auxiliaries + idle fuel energy.</t>
  </si>
  <si>
    <t>Measured EV kWh must be battery-side. Convert grid/charger measurements to the same boundary before entering them.</t>
  </si>
  <si>
    <t>Calibration is measured-energy sum / modelled-energy sum globally by vehicle type. Repeated pair instances are included.</t>
  </si>
  <si>
    <t>Fleet SEC, cost/km and CO2/km use ratios of sums.</t>
  </si>
  <si>
    <t>Unique trips retains the first Date + Vehicle + Start Time + Direction occurrence.</t>
  </si>
  <si>
    <t>Monthly trend ignores Month. Corridor comparison ignores Corridor and Direction. Latest records ignores all selectors.</t>
  </si>
  <si>
    <t>Acceleration sensitivity uses the reference's approximation, not a full recalculation of braking thresholds.</t>
  </si>
  <si>
    <t>Endpoint elevations are approximate. Intermediate climbs and descents are not represented.</t>
  </si>
  <si>
    <t>Components may not reconcile for extreme downhill cases because total wheel energy is clipped at zero.</t>
  </si>
  <si>
    <t>Rerun after summary updates to refresh selector lists and chart ranges.</t>
  </si>
  <si>
    <t>Origin</t>
  </si>
  <si>
    <t>Destination</t>
  </si>
  <si>
    <t>Origin elevation (m)</t>
  </si>
  <si>
    <t>Destination elevation (m)</t>
  </si>
  <si>
    <t>Chennai</t>
  </si>
  <si>
    <t>Pondicherry</t>
  </si>
  <si>
    <t>Maduravoyal</t>
  </si>
  <si>
    <t>Silk Board</t>
  </si>
  <si>
    <t>Madiwala</t>
  </si>
  <si>
    <t>Corridors</t>
  </si>
  <si>
    <t>Dependent directions</t>
  </si>
  <si>
    <t>Month labels</t>
  </si>
  <si>
    <t>Month dates</t>
  </si>
  <si>
    <t>Basis</t>
  </si>
  <si>
    <t>Trend metric</t>
  </si>
  <si>
    <t>Vehicles</t>
  </si>
  <si>
    <t>Route corridors</t>
  </si>
  <si>
    <t>All</t>
  </si>
  <si>
    <t>Unique trips</t>
  </si>
  <si>
    <t>All pair instances</t>
  </si>
  <si>
    <t>Energy cost (INR/km)</t>
  </si>
  <si>
    <t>CO2 (kg/km)</t>
  </si>
  <si>
    <t>Selected fleet</t>
  </si>
  <si>
    <t>Selected trips</t>
  </si>
  <si>
    <t>SEC kWh/km</t>
  </si>
  <si>
    <t>Efficiency km/kWh</t>
  </si>
  <si>
    <t>Economy km/L</t>
  </si>
  <si>
    <t>Wheel / consumed energy</t>
  </si>
  <si>
    <t>Cost/km</t>
  </si>
  <si>
    <t>CO2/km</t>
  </si>
  <si>
    <t>Average charging/refuel minutes</t>
  </si>
  <si>
    <t>Average trip hours</t>
  </si>
  <si>
    <t>Average trip energy</t>
  </si>
  <si>
    <t>Operating speed</t>
  </si>
  <si>
    <t>Energy saving</t>
  </si>
  <si>
    <t>Cost saving</t>
  </si>
  <si>
    <t>CO2 saving</t>
  </si>
  <si>
    <t>Efficiency multiplier</t>
  </si>
  <si>
    <t>Full TAT difference, minutes</t>
  </si>
  <si>
    <t>Global measured trips</t>
  </si>
  <si>
    <t>Road load</t>
  </si>
  <si>
    <t>Acceleration</t>
  </si>
  <si>
    <t>Gradient</t>
  </si>
  <si>
    <t>Auxiliaries / HVAC</t>
  </si>
  <si>
    <t>Engine idling</t>
  </si>
  <si>
    <t>Regeneration</t>
  </si>
  <si>
    <t>Charging / refuelling</t>
  </si>
  <si>
    <t>Stop</t>
  </si>
  <si>
    <t>Idle</t>
  </si>
  <si>
    <t>Inching</t>
  </si>
  <si>
    <t>Deceleration</t>
  </si>
  <si>
    <t>Cruise</t>
  </si>
  <si>
    <t>EV trip</t>
  </si>
  <si>
    <t>Charging</t>
  </si>
  <si>
    <t>Rest of trip</t>
  </si>
  <si>
    <t>EV and Diesel TAT and Energy Dashboard</t>
  </si>
  <si>
    <t>Live Excel model from the pipeline summary. EV in teal; Diesel in orange.</t>
  </si>
  <si>
    <t>Trip_Input'!A1</t>
  </si>
  <si>
    <t>Model'!A1</t>
  </si>
  <si>
    <t>Model'!A80</t>
  </si>
  <si>
    <t>01_All_Pairs'!A1</t>
  </si>
  <si>
    <t>Counting basis</t>
  </si>
  <si>
    <t>Energy intensity · kWh/km</t>
  </si>
  <si>
    <t>Energy cost · INR/km</t>
  </si>
  <si>
    <t>CO2 intensity · kg/km</t>
  </si>
  <si>
    <t>Energy saving per km</t>
  </si>
  <si>
    <t>Cost saving per km</t>
  </si>
  <si>
    <t>CO2 saving per km</t>
  </si>
  <si>
    <t>Full TAT difference · EV minus Diesel</t>
  </si>
  <si>
    <t>Charging/refuelling difference</t>
  </si>
  <si>
    <t>Selected fleet profile</t>
  </si>
  <si>
    <t>Metric</t>
  </si>
  <si>
    <t>Distance · km</t>
  </si>
  <si>
    <t>Energy · kWh equivalent</t>
  </si>
  <si>
    <t>Efficiency · km/kWh</t>
  </si>
  <si>
    <t>Diesel economy · km/L</t>
  </si>
  <si>
    <t>Average trip · min</t>
  </si>
  <si>
    <t>Average charging/refuel · min</t>
  </si>
  <si>
    <t>Operating speed · km/h</t>
  </si>
  <si>
    <t>Latest table records · independent of filters</t>
  </si>
  <si>
    <t>Type</t>
  </si>
  <si>
    <t>SEC</t>
  </si>
  <si>
    <t>Check</t>
  </si>
  <si>
    <t>Negative saving means EV is higher. Full TAT difference includes all phases. Energy uses editable assumptions. Sensitivity is approximate. * marks the EV default acceleration.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</si>
</sst>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d/mmm/yyyy"/>
    <numFmt numFmtId="166" formatCode="mmm\ yyyy"/>
    <numFmt numFmtId="167" formatCode="0.0%"/>
  </numFmts>
  <fonts count="25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1"/>
      <color rgb="FFFFFFFF"/>
      <name val="Calibri"/>
    </font>
    <font>
      <b/>
      <sz val="20"/>
      <name val="Calibri"/>
    </font>
    <font>
      <sz val="12"/>
      <color theme="10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0"/>
      <color theme="1"/>
      <name val="Segoe UI"/>
      <family val="2"/>
    </font>
    <font>
      <b/>
      <sz val="21"/>
      <color rgb="FFFFFFFF"/>
      <name val="Segoe UI"/>
      <family val="2"/>
    </font>
    <font>
      <sz val="10"/>
      <color rgb="FF192B41"/>
      <name val="Segoe UI"/>
      <family val="2"/>
    </font>
    <font>
      <b/>
      <sz val="10"/>
      <color rgb="FFFFFFFF"/>
      <name val="Segoe UI"/>
      <family val="2"/>
    </font>
    <font>
      <b/>
      <sz val="24"/>
      <color rgb="FFFFFFFF"/>
      <name val="Segoe UI"/>
      <family val="2"/>
    </font>
    <font>
      <sz val="11"/>
      <color rgb="FF192B41"/>
      <name val="Segoe UI"/>
      <family val="2"/>
    </font>
    <font>
      <b/>
      <sz val="10"/>
      <color rgb="FF192B41"/>
      <name val="Segoe UI"/>
      <family val="2"/>
    </font>
    <font>
      <b/>
      <sz val="11"/>
      <color rgb="FF192B41"/>
      <name val="Segoe UI"/>
      <family val="2"/>
    </font>
    <font>
      <b/>
      <sz val="10"/>
      <color rgb="FF647080"/>
      <name val="Segoe UI"/>
      <family val="2"/>
    </font>
    <font>
      <b/>
      <sz val="17"/>
      <color rgb="FF167784"/>
      <name val="Segoe UI"/>
      <family val="2"/>
    </font>
    <font>
      <b/>
      <sz val="17"/>
      <color rgb="FF192B41"/>
      <name val="Segoe UI"/>
      <family val="2"/>
    </font>
    <font>
      <b/>
      <sz val="17"/>
      <color rgb="FF1F8F58"/>
      <name val="Segoe UI"/>
      <family val="2"/>
    </font>
    <font>
      <b/>
      <sz val="13"/>
      <color rgb="FFFFFFFF"/>
      <name val="Segoe UI"/>
      <family val="2"/>
    </font>
    <font>
      <b/>
      <sz val="10"/>
      <color rgb="FF167784"/>
      <name val="Segoe UI"/>
      <family val="2"/>
    </font>
    <font>
      <b/>
      <sz val="10"/>
      <color rgb="FFE67E22"/>
      <name val="Segoe UI"/>
      <family val="2"/>
    </font>
    <font>
      <b/>
      <sz val="12"/>
      <color rgb="FFFFFFFF"/>
      <name val="Segoe UI"/>
      <family val="2"/>
    </font>
    <font>
      <sz val="9"/>
      <color rgb="FF192B41"/>
      <name val="Segoe UI"/>
      <family val="2"/>
    </font>
    <font>
      <b/>
      <sz val="9"/>
      <color rgb="FF192B4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E9EFF9"/>
      </patternFill>
    </fill>
    <fill>
      <patternFill patternType="solid">
        <fgColor rgb="FF192B41"/>
        <bgColor indexed="64"/>
      </patternFill>
    </fill>
    <fill>
      <patternFill patternType="solid">
        <fgColor rgb="FFE2EDF9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4" fillId="0" borderId="0" xfId="1"/>
    <xf numFmtId="0" fontId="0" fillId="5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164" fontId="7" fillId="0" borderId="0" xfId="0" applyNumberFormat="1" applyFont="1"/>
    <xf numFmtId="165" fontId="7" fillId="0" borderId="0" xfId="0" applyNumberFormat="1" applyFont="1"/>
    <xf numFmtId="21" fontId="7" fillId="0" borderId="0" xfId="0" applyNumberFormat="1" applyFont="1"/>
    <xf numFmtId="166" fontId="7" fillId="0" borderId="0" xfId="0" applyNumberFormat="1" applyFont="1"/>
    <xf numFmtId="164" fontId="7" fillId="7" borderId="0" xfId="0" applyNumberFormat="1" applyFont="1" applyFill="1"/>
    <xf numFmtId="0" fontId="10" fillId="6" borderId="0" xfId="0" applyFont="1" applyFill="1" applyAlignment="1">
      <alignment wrapText="1"/>
    </xf>
    <xf numFmtId="0" fontId="7" fillId="7" borderId="0" xfId="0" applyFont="1" applyFill="1"/>
    <xf numFmtId="167" fontId="7" fillId="7" borderId="0" xfId="0" applyNumberFormat="1" applyFont="1" applyFill="1"/>
    <xf numFmtId="167" fontId="7" fillId="0" borderId="0" xfId="0" applyNumberFormat="1" applyFont="1"/>
    <xf numFmtId="0" fontId="7" fillId="7" borderId="0" xfId="0" applyFont="1" applyFill="1" applyAlignment="1">
      <alignment wrapText="1"/>
    </xf>
    <xf numFmtId="0" fontId="7" fillId="8" borderId="0" xfId="0" applyFont="1" applyFill="1"/>
    <xf numFmtId="0" fontId="4" fillId="0" borderId="0" xfId="1" quotePrefix="1"/>
    <xf numFmtId="0" fontId="24" fillId="9" borderId="0" xfId="0" applyFont="1" applyFill="1" applyAlignment="1">
      <alignment vertical="center" wrapText="1"/>
    </xf>
    <xf numFmtId="0" fontId="23" fillId="9" borderId="0" xfId="0" applyFont="1" applyFill="1" applyAlignment="1">
      <alignment vertical="center" wrapText="1"/>
    </xf>
    <xf numFmtId="164" fontId="23" fillId="9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23" fillId="9" borderId="0" xfId="0" applyFont="1" applyFill="1" applyAlignment="1">
      <alignment vertical="center" wrapText="1"/>
    </xf>
    <xf numFmtId="15" fontId="23" fillId="9" borderId="0" xfId="0" applyNumberFormat="1" applyFont="1" applyFill="1" applyAlignment="1">
      <alignment vertical="center" wrapText="1"/>
    </xf>
    <xf numFmtId="0" fontId="23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22" fillId="6" borderId="0" xfId="0" applyFont="1" applyFill="1" applyAlignment="1">
      <alignment vertical="center" wrapText="1"/>
    </xf>
    <xf numFmtId="0" fontId="24" fillId="9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2" fontId="9" fillId="9" borderId="0" xfId="0" applyNumberFormat="1" applyFont="1" applyFill="1" applyAlignment="1">
      <alignment vertical="center" wrapText="1"/>
    </xf>
    <xf numFmtId="167" fontId="9" fillId="9" borderId="0" xfId="0" applyNumberFormat="1" applyFont="1" applyFill="1" applyAlignment="1">
      <alignment vertical="center" wrapText="1"/>
    </xf>
    <xf numFmtId="164" fontId="9" fillId="9" borderId="0" xfId="0" applyNumberFormat="1" applyFont="1" applyFill="1" applyAlignment="1">
      <alignment vertical="center" wrapText="1"/>
    </xf>
    <xf numFmtId="0" fontId="19" fillId="6" borderId="0" xfId="0" applyFont="1" applyFill="1" applyAlignment="1">
      <alignment vertical="center" wrapText="1"/>
    </xf>
    <xf numFmtId="0" fontId="13" fillId="9" borderId="0" xfId="0" applyFont="1" applyFill="1" applyAlignment="1">
      <alignment vertical="center" wrapText="1"/>
    </xf>
    <xf numFmtId="0" fontId="20" fillId="9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1" fontId="9" fillId="9" borderId="0" xfId="0" applyNumberFormat="1" applyFont="1" applyFill="1" applyAlignment="1">
      <alignment vertical="center" wrapText="1"/>
    </xf>
    <xf numFmtId="0" fontId="18" fillId="9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17" fillId="9" borderId="0" xfId="0" applyFont="1" applyFill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6" fillId="9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6" formatCode="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  <fill>
        <patternFill patternType="solid">
          <fgColor indexed="64"/>
          <bgColor rgb="FFE2ED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  <fill>
        <patternFill patternType="solid">
          <fgColor indexed="64"/>
          <bgColor rgb="FFE2ED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  <fill>
        <patternFill patternType="solid">
          <fgColor indexed="64"/>
          <bgColor rgb="FFE2ED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  <fill>
        <patternFill patternType="solid">
          <fgColor indexed="64"/>
          <bgColor rgb="FFE2ED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  <fill>
        <patternFill patternType="solid">
          <fgColor indexed="64"/>
          <bgColor rgb="FFE2ED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26" formatCode="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5" formatCode="dd/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bottom" textRotation="0" wrapText="1" indent="0" justifyLastLine="0" shrinkToFit="0" readingOrder="0"/>
    </dxf>
    <dxf>
      <font>
        <color rgb="FFAA1E1E"/>
      </font>
      <fill>
        <patternFill>
          <bgColor rgb="FFFFDCD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E2EDF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E2EDF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IN"/>
              <a:t>Monthly trend · selected metric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</c:v>
          </c:tx>
          <c:spPr>
            <a:solidFill>
              <a:srgbClr val="167784"/>
            </a:solidFill>
            <a:ln>
              <a:solidFill>
                <a:srgbClr val="167784"/>
              </a:solidFill>
            </a:ln>
          </c:spPr>
          <c:invertIfNegative val="0"/>
          <c:cat>
            <c:numRef>
              <c:f>Calc!$K$102:$K$104</c:f>
              <c:numCache>
                <c:formatCode>mmm\ yyyy</c:formatCode>
                <c:ptCount val="3"/>
                <c:pt idx="0">
                  <c:v>46204</c:v>
                </c:pt>
                <c:pt idx="1">
                  <c:v>46266</c:v>
                </c:pt>
                <c:pt idx="2">
                  <c:v>46296</c:v>
                </c:pt>
              </c:numCache>
            </c:numRef>
          </c:cat>
          <c:val>
            <c:numRef>
              <c:f>Calc!$T$102:$T$104</c:f>
              <c:numCache>
                <c:formatCode>General</c:formatCode>
                <c:ptCount val="3"/>
                <c:pt idx="0">
                  <c:v>0.93477116260031601</c:v>
                </c:pt>
                <c:pt idx="1">
                  <c:v>0.91870665561669884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9-4C70-9E14-C29B6607BF81}"/>
            </c:ext>
          </c:extLst>
        </c:ser>
        <c:ser>
          <c:idx val="1"/>
          <c:order val="1"/>
          <c:tx>
            <c:v>Diesel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invertIfNegative val="0"/>
          <c:cat>
            <c:numRef>
              <c:f>Calc!$K$102:$K$104</c:f>
              <c:numCache>
                <c:formatCode>mmm\ yyyy</c:formatCode>
                <c:ptCount val="3"/>
                <c:pt idx="0">
                  <c:v>46204</c:v>
                </c:pt>
                <c:pt idx="1">
                  <c:v>46266</c:v>
                </c:pt>
                <c:pt idx="2">
                  <c:v>46296</c:v>
                </c:pt>
              </c:numCache>
            </c:numRef>
          </c:cat>
          <c:val>
            <c:numRef>
              <c:f>Calc!$U$102:$U$104</c:f>
              <c:numCache>
                <c:formatCode>General</c:formatCode>
                <c:ptCount val="3"/>
                <c:pt idx="0">
                  <c:v>2.522490207395705</c:v>
                </c:pt>
                <c:pt idx="1">
                  <c:v>2.3994623579517933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9-4C70-9E14-C29B6607B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848031"/>
        <c:axId val="1680858015"/>
      </c:barChart>
      <c:dateAx>
        <c:axId val="1680848031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0858015"/>
        <c:crosses val="autoZero"/>
        <c:auto val="1"/>
        <c:lblOffset val="100"/>
        <c:baseTimeUnit val="months"/>
      </c:dateAx>
      <c:valAx>
        <c:axId val="16808580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0848031"/>
        <c:crosses val="autoZero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IN"/>
              <a:t>EV charging versus rest of trip</a:t>
            </a:r>
          </a:p>
        </c:rich>
      </c:tx>
      <c:layout/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Charging</c:v>
          </c:tx>
          <c:spPr>
            <a:solidFill>
              <a:srgbClr val="6C5CE7"/>
            </a:solidFill>
            <a:ln>
              <a:solidFill>
                <a:srgbClr val="6C5CE7"/>
              </a:solidFill>
            </a:ln>
          </c:spPr>
          <c:invertIfNegative val="0"/>
          <c:cat>
            <c:strRef>
              <c:f>Calc!$X$79</c:f>
              <c:strCache>
                <c:ptCount val="1"/>
                <c:pt idx="0">
                  <c:v>EV</c:v>
                </c:pt>
              </c:strCache>
            </c:strRef>
          </c:cat>
          <c:val>
            <c:numRef>
              <c:f>Calc!$Y$79</c:f>
              <c:numCache>
                <c:formatCode>General</c:formatCode>
                <c:ptCount val="1"/>
                <c:pt idx="0">
                  <c:v>29.488095238095237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30-4423-B17E-0701CDAE9D2C}"/>
            </c:ext>
          </c:extLst>
        </c:ser>
        <c:ser>
          <c:idx val="1"/>
          <c:order val="1"/>
          <c:tx>
            <c:v>Rest of trip</c:v>
          </c:tx>
          <c:spPr>
            <a:solidFill>
              <a:srgbClr val="167784"/>
            </a:solidFill>
            <a:ln>
              <a:solidFill>
                <a:srgbClr val="167784"/>
              </a:solidFill>
            </a:ln>
          </c:spPr>
          <c:invertIfNegative val="0"/>
          <c:cat>
            <c:strRef>
              <c:f>Calc!$X$79</c:f>
              <c:strCache>
                <c:ptCount val="1"/>
                <c:pt idx="0">
                  <c:v>EV</c:v>
                </c:pt>
              </c:strCache>
            </c:strRef>
          </c:cat>
          <c:val>
            <c:numRef>
              <c:f>Calc!$Z$79</c:f>
              <c:numCache>
                <c:formatCode>General</c:formatCode>
                <c:ptCount val="1"/>
                <c:pt idx="0">
                  <c:v>324.58086190476189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30-4423-B17E-0701CDAE9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0844703"/>
        <c:axId val="1680856351"/>
      </c:barChart>
      <c:catAx>
        <c:axId val="1680844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0856351"/>
        <c:crosses val="autoZero"/>
        <c:auto val="1"/>
        <c:lblAlgn val="ctr"/>
        <c:lblOffset val="100"/>
        <c:noMultiLvlLbl val="0"/>
      </c:catAx>
      <c:valAx>
        <c:axId val="168085635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Share of total trip time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1680844703"/>
        <c:crosses val="autoZero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IN"/>
              <a:t>Corridor comparison · month and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</c:v>
          </c:tx>
          <c:spPr>
            <a:solidFill>
              <a:srgbClr val="167784"/>
            </a:solidFill>
            <a:ln>
              <a:solidFill>
                <a:srgbClr val="167784"/>
              </a:solidFill>
            </a:ln>
          </c:spPr>
          <c:invertIfNegative val="0"/>
          <c:cat>
            <c:strRef>
              <c:f>Calc!$K$83:$K$85</c:f>
              <c:strCache>
                <c:ptCount val="3"/>
                <c:pt idx="0">
                  <c:v>Chennai ↔ Pondicherry</c:v>
                </c:pt>
                <c:pt idx="1">
                  <c:v>Maduravoyal ↔ Madiwala</c:v>
                </c:pt>
                <c:pt idx="2">
                  <c:v>Maduravoyal ↔ Silk Board</c:v>
                </c:pt>
              </c:strCache>
            </c:strRef>
          </c:cat>
          <c:val>
            <c:numRef>
              <c:f>Calc!$P$83:$P$85</c:f>
              <c:numCache>
                <c:formatCode>General</c:formatCode>
                <c:ptCount val="3"/>
                <c:pt idx="0">
                  <c:v>0.94323200924677397</c:v>
                </c:pt>
                <c:pt idx="1">
                  <c:v>0.97858533500232514</c:v>
                </c:pt>
                <c:pt idx="2">
                  <c:v>0.9304731113897442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24-42A3-905B-5DEE466ED9E8}"/>
            </c:ext>
          </c:extLst>
        </c:ser>
        <c:ser>
          <c:idx val="1"/>
          <c:order val="1"/>
          <c:tx>
            <c:v>Diesel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invertIfNegative val="0"/>
          <c:cat>
            <c:strRef>
              <c:f>Calc!$K$83:$K$85</c:f>
              <c:strCache>
                <c:ptCount val="3"/>
                <c:pt idx="0">
                  <c:v>Chennai ↔ Pondicherry</c:v>
                </c:pt>
                <c:pt idx="1">
                  <c:v>Maduravoyal ↔ Madiwala</c:v>
                </c:pt>
                <c:pt idx="2">
                  <c:v>Maduravoyal ↔ Silk Board</c:v>
                </c:pt>
              </c:strCache>
            </c:strRef>
          </c:cat>
          <c:val>
            <c:numRef>
              <c:f>Calc!$Q$83:$Q$85</c:f>
              <c:numCache>
                <c:formatCode>General</c:formatCode>
                <c:ptCount val="3"/>
                <c:pt idx="0">
                  <c:v>2.3556600972854866</c:v>
                </c:pt>
                <c:pt idx="1">
                  <c:v>2.4421995091245523</c:v>
                </c:pt>
                <c:pt idx="2">
                  <c:v>2.4726953775038902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24-42A3-905B-5DEE466ED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854271"/>
        <c:axId val="1680856767"/>
      </c:barChart>
      <c:lineChart>
        <c:grouping val="standard"/>
        <c:varyColors val="0"/>
        <c:ser>
          <c:idx val="2"/>
          <c:order val="2"/>
          <c:tx>
            <c:v>Saving</c:v>
          </c:tx>
          <c:spPr>
            <a:ln>
              <a:solidFill>
                <a:srgbClr val="1F8F58"/>
              </a:solidFill>
            </a:ln>
          </c:spPr>
          <c:marker>
            <c:symbol val="none"/>
          </c:marker>
          <c:cat>
            <c:strRef>
              <c:f>Calc!$K$83:$K$85</c:f>
              <c:strCache>
                <c:ptCount val="3"/>
                <c:pt idx="0">
                  <c:v>Chennai ↔ Pondicherry</c:v>
                </c:pt>
                <c:pt idx="1">
                  <c:v>Maduravoyal ↔ Madiwala</c:v>
                </c:pt>
                <c:pt idx="2">
                  <c:v>Maduravoyal ↔ Silk Board</c:v>
                </c:pt>
              </c:strCache>
            </c:strRef>
          </c:cat>
          <c:val>
            <c:numRef>
              <c:f>Calc!$R$83:$R$85</c:f>
              <c:numCache>
                <c:formatCode>General</c:formatCode>
                <c:ptCount val="3"/>
                <c:pt idx="0">
                  <c:v>0.59958908743511219</c:v>
                </c:pt>
                <c:pt idx="1">
                  <c:v>0.59930164126799146</c:v>
                </c:pt>
                <c:pt idx="2">
                  <c:v>0.62370087320297896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24-42A3-905B-5DEE466ED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849279"/>
        <c:axId val="1680851359"/>
      </c:lineChart>
      <c:catAx>
        <c:axId val="1680854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0856767"/>
        <c:crosses val="autoZero"/>
        <c:auto val="1"/>
        <c:lblAlgn val="ctr"/>
        <c:lblOffset val="100"/>
        <c:noMultiLvlLbl val="0"/>
      </c:catAx>
      <c:valAx>
        <c:axId val="16808567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kWh/km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0854271"/>
        <c:crosses val="autoZero"/>
        <c:crossBetween val="between"/>
      </c:valAx>
      <c:valAx>
        <c:axId val="1680851359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EV saving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1680849279"/>
        <c:crosses val="max"/>
        <c:crossBetween val="between"/>
      </c:valAx>
      <c:catAx>
        <c:axId val="16808492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0851359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0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IN"/>
              <a:t>Where the energy goes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Road load</c:v>
          </c:tx>
          <c:spPr>
            <a:solidFill>
              <a:srgbClr val="6C5CE7"/>
            </a:solidFill>
            <a:ln>
              <a:solidFill>
                <a:srgbClr val="6C5CE7"/>
              </a:solidFill>
            </a:ln>
          </c:spPr>
          <c:invertIfNegative val="0"/>
          <c:cat>
            <c:strRef>
              <c:f>Calc!$X$51:$X$52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Calc!$Y$51:$Y$52</c:f>
              <c:numCache>
                <c:formatCode>General</c:formatCode>
                <c:ptCount val="2"/>
                <c:pt idx="0">
                  <c:v>0.64883535280363847</c:v>
                </c:pt>
                <c:pt idx="1">
                  <c:v>1.5217788930643132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FA-4A27-A193-1474D713E632}"/>
            </c:ext>
          </c:extLst>
        </c:ser>
        <c:ser>
          <c:idx val="1"/>
          <c:order val="1"/>
          <c:tx>
            <c:v>Acceleration</c:v>
          </c:tx>
          <c:spPr>
            <a:solidFill>
              <a:srgbClr val="96A0AF"/>
            </a:solidFill>
            <a:ln>
              <a:solidFill>
                <a:srgbClr val="96A0AF"/>
              </a:solidFill>
            </a:ln>
          </c:spPr>
          <c:invertIfNegative val="0"/>
          <c:cat>
            <c:strRef>
              <c:f>Calc!$X$51:$X$52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Calc!$Z$51:$Z$52</c:f>
              <c:numCache>
                <c:formatCode>General</c:formatCode>
                <c:ptCount val="2"/>
                <c:pt idx="0">
                  <c:v>0.2315868127855808</c:v>
                </c:pt>
                <c:pt idx="1">
                  <c:v>0.57564658809058089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FA-4A27-A193-1474D713E632}"/>
            </c:ext>
          </c:extLst>
        </c:ser>
        <c:ser>
          <c:idx val="2"/>
          <c:order val="2"/>
          <c:tx>
            <c:v>Gradient</c:v>
          </c:tx>
          <c:spPr>
            <a:solidFill>
              <a:srgbClr val="C3CAD4"/>
            </a:solidFill>
            <a:ln>
              <a:solidFill>
                <a:srgbClr val="C3CAD4"/>
              </a:solidFill>
            </a:ln>
          </c:spPr>
          <c:invertIfNegative val="0"/>
          <c:cat>
            <c:strRef>
              <c:f>Calc!$X$51:$X$52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Calc!$AA$51:$AA$52</c:f>
              <c:numCache>
                <c:formatCode>General</c:formatCode>
                <c:ptCount val="2"/>
                <c:pt idx="0">
                  <c:v>-1.1151174778588303E-2</c:v>
                </c:pt>
                <c:pt idx="1">
                  <c:v>-2.508661697291515E-2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FA-4A27-A193-1474D713E632}"/>
            </c:ext>
          </c:extLst>
        </c:ser>
        <c:ser>
          <c:idx val="3"/>
          <c:order val="3"/>
          <c:tx>
            <c:v>Auxiliaries/HVAC</c:v>
          </c:tx>
          <c:spPr>
            <a:solidFill>
              <a:srgbClr val="49A4C3"/>
            </a:solidFill>
            <a:ln>
              <a:solidFill>
                <a:srgbClr val="49A4C3"/>
              </a:solidFill>
            </a:ln>
          </c:spPr>
          <c:invertIfNegative val="0"/>
          <c:cat>
            <c:strRef>
              <c:f>Calc!$X$51:$X$52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Calc!$AB$51:$AB$52</c:f>
              <c:numCache>
                <c:formatCode>General</c:formatCode>
                <c:ptCount val="2"/>
                <c:pt idx="0">
                  <c:v>0.1425769971256331</c:v>
                </c:pt>
                <c:pt idx="1">
                  <c:v>0.36573812036988723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FA-4A27-A193-1474D713E632}"/>
            </c:ext>
          </c:extLst>
        </c:ser>
        <c:ser>
          <c:idx val="4"/>
          <c:order val="4"/>
          <c:tx>
            <c:v>Engine idling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invertIfNegative val="0"/>
          <c:cat>
            <c:strRef>
              <c:f>Calc!$X$51:$X$52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Calc!$AC$51:$AC$52</c:f>
              <c:numCache>
                <c:formatCode>General</c:formatCode>
                <c:ptCount val="2"/>
                <c:pt idx="0">
                  <c:v>0</c:v>
                </c:pt>
                <c:pt idx="1">
                  <c:v>3.4618392952023895E-2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FA-4A27-A193-1474D713E632}"/>
            </c:ext>
          </c:extLst>
        </c:ser>
        <c:ser>
          <c:idx val="5"/>
          <c:order val="5"/>
          <c:tx>
            <c:v>Regeneration</c:v>
          </c:tx>
          <c:spPr>
            <a:solidFill>
              <a:srgbClr val="42A571"/>
            </a:solidFill>
            <a:ln>
              <a:solidFill>
                <a:srgbClr val="42A571"/>
              </a:solidFill>
            </a:ln>
          </c:spPr>
          <c:invertIfNegative val="0"/>
          <c:cat>
            <c:strRef>
              <c:f>Calc!$X$51:$X$52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Calc!$AD$51:$AD$52</c:f>
              <c:numCache>
                <c:formatCode>General</c:formatCode>
                <c:ptCount val="2"/>
                <c:pt idx="0">
                  <c:v>-8.1374876546519953E-2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FA-4A27-A193-1474D713E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0857183"/>
        <c:axId val="1680850111"/>
      </c:barChart>
      <c:catAx>
        <c:axId val="1680857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0850111"/>
        <c:crosses val="autoZero"/>
        <c:auto val="1"/>
        <c:lblAlgn val="ctr"/>
        <c:lblOffset val="100"/>
        <c:noMultiLvlLbl val="0"/>
      </c:catAx>
      <c:valAx>
        <c:axId val="16808501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kWh/km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0857183"/>
        <c:crosses val="autoZero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IN"/>
              <a:t>Turnaround by phase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Charging / refuelling</c:v>
          </c:tx>
          <c:spPr>
            <a:solidFill>
              <a:srgbClr val="6C5CE7"/>
            </a:solidFill>
            <a:ln>
              <a:solidFill>
                <a:srgbClr val="6C5CE7"/>
              </a:solidFill>
            </a:ln>
          </c:spPr>
          <c:invertIfNegative val="0"/>
          <c:cat>
            <c:strRef>
              <c:f>Calc!$X$61:$X$62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Calc!$Y$61:$Y$62</c:f>
              <c:numCache>
                <c:formatCode>General</c:formatCode>
                <c:ptCount val="2"/>
                <c:pt idx="0">
                  <c:v>29.488095238095237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53-4226-9277-9F342D54DE23}"/>
            </c:ext>
          </c:extLst>
        </c:ser>
        <c:ser>
          <c:idx val="1"/>
          <c:order val="1"/>
          <c:tx>
            <c:v>Stop</c:v>
          </c:tx>
          <c:spPr>
            <a:solidFill>
              <a:srgbClr val="96A0AF"/>
            </a:solidFill>
            <a:ln>
              <a:solidFill>
                <a:srgbClr val="96A0AF"/>
              </a:solidFill>
            </a:ln>
          </c:spPr>
          <c:invertIfNegative val="0"/>
          <c:cat>
            <c:strRef>
              <c:f>Calc!$X$61:$X$62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Calc!$Z$61:$Z$62</c:f>
              <c:numCache>
                <c:formatCode>General</c:formatCode>
                <c:ptCount val="2"/>
                <c:pt idx="0">
                  <c:v>26.230476190476189</c:v>
                </c:pt>
                <c:pt idx="1">
                  <c:v>22.49523809523809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53-4226-9277-9F342D54DE23}"/>
            </c:ext>
          </c:extLst>
        </c:ser>
        <c:ser>
          <c:idx val="2"/>
          <c:order val="2"/>
          <c:tx>
            <c:v>Idle</c:v>
          </c:tx>
          <c:spPr>
            <a:solidFill>
              <a:srgbClr val="C3CAD4"/>
            </a:solidFill>
            <a:ln>
              <a:solidFill>
                <a:srgbClr val="C3CAD4"/>
              </a:solidFill>
            </a:ln>
          </c:spPr>
          <c:invertIfNegative val="0"/>
          <c:cat>
            <c:strRef>
              <c:f>Calc!$X$61:$X$62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Calc!$AA$61:$AA$62</c:f>
              <c:numCache>
                <c:formatCode>General</c:formatCode>
                <c:ptCount val="2"/>
                <c:pt idx="0">
                  <c:v>11.097619047619048</c:v>
                </c:pt>
                <c:pt idx="1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53-4226-9277-9F342D54DE23}"/>
            </c:ext>
          </c:extLst>
        </c:ser>
        <c:ser>
          <c:idx val="3"/>
          <c:order val="3"/>
          <c:tx>
            <c:v>Inching</c:v>
          </c:tx>
          <c:spPr>
            <a:solidFill>
              <a:srgbClr val="49A4C3"/>
            </a:solidFill>
            <a:ln>
              <a:solidFill>
                <a:srgbClr val="49A4C3"/>
              </a:solidFill>
            </a:ln>
          </c:spPr>
          <c:invertIfNegative val="0"/>
          <c:cat>
            <c:strRef>
              <c:f>Calc!$X$61:$X$62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Calc!$AB$61:$AB$62</c:f>
              <c:numCache>
                <c:formatCode>General</c:formatCode>
                <c:ptCount val="2"/>
                <c:pt idx="0">
                  <c:v>5.5714285714285703</c:v>
                </c:pt>
                <c:pt idx="1">
                  <c:v>3.833333333333333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53-4226-9277-9F342D54DE23}"/>
            </c:ext>
          </c:extLst>
        </c:ser>
        <c:ser>
          <c:idx val="4"/>
          <c:order val="4"/>
          <c:tx>
            <c:v>Acceleration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invertIfNegative val="0"/>
          <c:cat>
            <c:strRef>
              <c:f>Calc!$X$61:$X$62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Calc!$AC$61:$AC$62</c:f>
              <c:numCache>
                <c:formatCode>General</c:formatCode>
                <c:ptCount val="2"/>
                <c:pt idx="0">
                  <c:v>53.244376190476189</c:v>
                </c:pt>
                <c:pt idx="1">
                  <c:v>59.675635714285718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53-4226-9277-9F342D54DE23}"/>
            </c:ext>
          </c:extLst>
        </c:ser>
        <c:ser>
          <c:idx val="5"/>
          <c:order val="5"/>
          <c:tx>
            <c:v>Deceleration</c:v>
          </c:tx>
          <c:spPr>
            <a:solidFill>
              <a:srgbClr val="42A571"/>
            </a:solidFill>
            <a:ln>
              <a:solidFill>
                <a:srgbClr val="42A571"/>
              </a:solidFill>
            </a:ln>
          </c:spPr>
          <c:invertIfNegative val="0"/>
          <c:cat>
            <c:strRef>
              <c:f>Calc!$X$61:$X$62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Calc!$AD$61:$AD$62</c:f>
              <c:numCache>
                <c:formatCode>General</c:formatCode>
                <c:ptCount val="2"/>
                <c:pt idx="0">
                  <c:v>43.471559523809518</c:v>
                </c:pt>
                <c:pt idx="1">
                  <c:v>44.607142857142854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53-4226-9277-9F342D54DE23}"/>
            </c:ext>
          </c:extLst>
        </c:ser>
        <c:ser>
          <c:idx val="6"/>
          <c:order val="6"/>
          <c:tx>
            <c:v>Cruise</c:v>
          </c:tx>
          <c:spPr>
            <a:solidFill>
              <a:srgbClr val="195078"/>
            </a:solidFill>
            <a:ln>
              <a:solidFill>
                <a:srgbClr val="195078"/>
              </a:solidFill>
            </a:ln>
          </c:spPr>
          <c:invertIfNegative val="0"/>
          <c:cat>
            <c:strRef>
              <c:f>Calc!$X$61:$X$62</c:f>
              <c:strCache>
                <c:ptCount val="2"/>
                <c:pt idx="0">
                  <c:v>EV</c:v>
                </c:pt>
                <c:pt idx="1">
                  <c:v>Diesel</c:v>
                </c:pt>
              </c:strCache>
            </c:strRef>
          </c:cat>
          <c:val>
            <c:numRef>
              <c:f>Calc!$AE$61:$AE$62</c:f>
              <c:numCache>
                <c:formatCode>General</c:formatCode>
                <c:ptCount val="2"/>
                <c:pt idx="0">
                  <c:v>184.96540238095236</c:v>
                </c:pt>
                <c:pt idx="1">
                  <c:v>185.07869761904766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53-4226-9277-9F342D54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0846367"/>
        <c:axId val="1680849695"/>
      </c:barChart>
      <c:catAx>
        <c:axId val="16808463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0849695"/>
        <c:crosses val="autoZero"/>
        <c:auto val="1"/>
        <c:lblAlgn val="ctr"/>
        <c:lblOffset val="100"/>
        <c:noMultiLvlLbl val="0"/>
      </c:catAx>
      <c:valAx>
        <c:axId val="168084969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Minutes per trip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0846367"/>
        <c:crosses val="autoZero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IN"/>
              <a:t>Acceleration sensitivity · approximation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</c:v>
          </c:tx>
          <c:spPr>
            <a:solidFill>
              <a:srgbClr val="167784"/>
            </a:solidFill>
            <a:ln>
              <a:solidFill>
                <a:srgbClr val="167784"/>
              </a:solidFill>
            </a:ln>
          </c:spPr>
          <c:invertIfNegative val="0"/>
          <c:cat>
            <c:strRef>
              <c:f>Calc!$O$71:$O$76</c:f>
              <c:strCache>
                <c:ptCount val="6"/>
                <c:pt idx="0">
                  <c:v>0.15</c:v>
                </c:pt>
                <c:pt idx="1">
                  <c:v>0.20</c:v>
                </c:pt>
                <c:pt idx="2">
                  <c:v>0.25 *</c:v>
                </c:pt>
                <c:pt idx="3">
                  <c:v>0.30</c:v>
                </c:pt>
                <c:pt idx="4">
                  <c:v>0.35</c:v>
                </c:pt>
                <c:pt idx="5">
                  <c:v>0.40</c:v>
                </c:pt>
              </c:strCache>
            </c:strRef>
          </c:cat>
          <c:val>
            <c:numRef>
              <c:f>Calc!$L$71:$L$76</c:f>
              <c:numCache>
                <c:formatCode>General</c:formatCode>
                <c:ptCount val="6"/>
                <c:pt idx="0">
                  <c:v>0.87606807531609254</c:v>
                </c:pt>
                <c:pt idx="1">
                  <c:v>0.90327059335291826</c:v>
                </c:pt>
                <c:pt idx="2">
                  <c:v>0.9304731113897442</c:v>
                </c:pt>
                <c:pt idx="3">
                  <c:v>0.95767562942657003</c:v>
                </c:pt>
                <c:pt idx="4">
                  <c:v>0.98487814746339597</c:v>
                </c:pt>
                <c:pt idx="5">
                  <c:v>1.0120806655002217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1-4829-9780-6983ED35C281}"/>
            </c:ext>
          </c:extLst>
        </c:ser>
        <c:ser>
          <c:idx val="1"/>
          <c:order val="1"/>
          <c:tx>
            <c:v>Diesel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invertIfNegative val="0"/>
          <c:cat>
            <c:strRef>
              <c:f>Calc!$O$71:$O$76</c:f>
              <c:strCache>
                <c:ptCount val="6"/>
                <c:pt idx="0">
                  <c:v>0.15</c:v>
                </c:pt>
                <c:pt idx="1">
                  <c:v>0.20</c:v>
                </c:pt>
                <c:pt idx="2">
                  <c:v>0.25 *</c:v>
                </c:pt>
                <c:pt idx="3">
                  <c:v>0.30</c:v>
                </c:pt>
                <c:pt idx="4">
                  <c:v>0.35</c:v>
                </c:pt>
                <c:pt idx="5">
                  <c:v>0.40</c:v>
                </c:pt>
              </c:strCache>
            </c:strRef>
          </c:cat>
          <c:val>
            <c:numRef>
              <c:f>Calc!$M$71:$M$76</c:f>
              <c:numCache>
                <c:formatCode>General</c:formatCode>
                <c:ptCount val="6"/>
                <c:pt idx="0">
                  <c:v>2.2424367422676577</c:v>
                </c:pt>
                <c:pt idx="1">
                  <c:v>2.3575660598857739</c:v>
                </c:pt>
                <c:pt idx="2">
                  <c:v>2.4726953775038902</c:v>
                </c:pt>
                <c:pt idx="3">
                  <c:v>2.5878246951220065</c:v>
                </c:pt>
                <c:pt idx="4">
                  <c:v>2.7029540127401228</c:v>
                </c:pt>
                <c:pt idx="5">
                  <c:v>2.8180833303582387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1-4829-9780-6983ED35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857599"/>
        <c:axId val="1680847199"/>
      </c:barChart>
      <c:lineChart>
        <c:grouping val="standard"/>
        <c:varyColors val="0"/>
        <c:ser>
          <c:idx val="2"/>
          <c:order val="2"/>
          <c:tx>
            <c:v>Saving</c:v>
          </c:tx>
          <c:spPr>
            <a:ln>
              <a:solidFill>
                <a:srgbClr val="1F8F58"/>
              </a:solidFill>
            </a:ln>
          </c:spPr>
          <c:marker>
            <c:symbol val="none"/>
          </c:marker>
          <c:cat>
            <c:strRef>
              <c:f>Calc!$O$71:$O$76</c:f>
              <c:strCache>
                <c:ptCount val="6"/>
                <c:pt idx="0">
                  <c:v>0.15</c:v>
                </c:pt>
                <c:pt idx="1">
                  <c:v>0.20</c:v>
                </c:pt>
                <c:pt idx="2">
                  <c:v>0.25 *</c:v>
                </c:pt>
                <c:pt idx="3">
                  <c:v>0.30</c:v>
                </c:pt>
                <c:pt idx="4">
                  <c:v>0.35</c:v>
                </c:pt>
                <c:pt idx="5">
                  <c:v>0.40</c:v>
                </c:pt>
              </c:strCache>
            </c:strRef>
          </c:cat>
          <c:val>
            <c:numRef>
              <c:f>Calc!$N$71:$N$76</c:f>
              <c:numCache>
                <c:formatCode>General</c:formatCode>
                <c:ptCount val="6"/>
                <c:pt idx="0">
                  <c:v>0.60932317117219048</c:v>
                </c:pt>
                <c:pt idx="1">
                  <c:v>0.61686308234489839</c:v>
                </c:pt>
                <c:pt idx="2">
                  <c:v>0.62370087320297896</c:v>
                </c:pt>
                <c:pt idx="3">
                  <c:v>0.62993025330047747</c:v>
                </c:pt>
                <c:pt idx="4">
                  <c:v>0.63562896637483868</c:v>
                </c:pt>
                <c:pt idx="5">
                  <c:v>0.64086205166560328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F1-4829-9780-6983ED35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847615"/>
        <c:axId val="1680858431"/>
      </c:lineChart>
      <c:catAx>
        <c:axId val="1680857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Acceleration · m/s²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0847199"/>
        <c:crosses val="autoZero"/>
        <c:auto val="1"/>
        <c:lblAlgn val="ctr"/>
        <c:lblOffset val="100"/>
        <c:noMultiLvlLbl val="0"/>
      </c:catAx>
      <c:valAx>
        <c:axId val="1680847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kWh/km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0857599"/>
        <c:crosses val="autoZero"/>
        <c:crossBetween val="between"/>
      </c:valAx>
      <c:valAx>
        <c:axId val="1680858431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EV saving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1680847615"/>
        <c:crosses val="max"/>
        <c:crossBetween val="between"/>
      </c:valAx>
      <c:catAx>
        <c:axId val="1680847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0858431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0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IN"/>
              <a:t>Trip scatter · moving speed and energy intensity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EV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167784"/>
              </a:solidFill>
              <a:ln>
                <a:solidFill>
                  <a:srgbClr val="167784"/>
                </a:solidFill>
                <a:prstDash val="solid"/>
              </a:ln>
            </c:spPr>
          </c:marker>
          <c:xVal>
            <c:numRef>
              <c:f>Trip_Input!$AP$5:$AP$112</c:f>
              <c:numCache>
                <c:formatCode>0.000</c:formatCode>
                <c:ptCount val="108"/>
                <c:pt idx="0">
                  <c:v>69.11154120244322</c:v>
                </c:pt>
                <c:pt idx="1">
                  <c:v>63.460767866371924</c:v>
                </c:pt>
                <c:pt idx="2">
                  <c:v>69.098086819344232</c:v>
                </c:pt>
                <c:pt idx="3">
                  <c:v>66.42225595059594</c:v>
                </c:pt>
                <c:pt idx="4">
                  <c:v>64.616756627859601</c:v>
                </c:pt>
                <c:pt idx="5">
                  <c:v>59.679115606607738</c:v>
                </c:pt>
                <c:pt idx="6">
                  <c:v>42.80810564129095</c:v>
                </c:pt>
                <c:pt idx="7">
                  <c:v>44.784536201483526</c:v>
                </c:pt>
                <c:pt idx="8">
                  <c:v>47.253841991330667</c:v>
                </c:pt>
                <c:pt idx="9">
                  <c:v>44.821614085784951</c:v>
                </c:pt>
                <c:pt idx="10">
                  <c:v>49.306618200865572</c:v>
                </c:pt>
                <c:pt idx="11">
                  <c:v>44.792170199200548</c:v>
                </c:pt>
                <c:pt idx="12">
                  <c:v>44.761538696895464</c:v>
                </c:pt>
                <c:pt idx="13">
                  <c:v>44.849027767870126</c:v>
                </c:pt>
                <c:pt idx="14">
                  <c:v>48.109431090638431</c:v>
                </c:pt>
                <c:pt idx="15">
                  <c:v>45.043540593222332</c:v>
                </c:pt>
                <c:pt idx="16">
                  <c:v>41.13690324412201</c:v>
                </c:pt>
                <c:pt idx="17">
                  <c:v>41.353121466683596</c:v>
                </c:pt>
                <c:pt idx="18">
                  <c:v>47.637753211593449</c:v>
                </c:pt>
                <c:pt idx="19">
                  <c:v>44.798056554140565</c:v>
                </c:pt>
                <c:pt idx="20">
                  <c:v>44.633872553714362</c:v>
                </c:pt>
                <c:pt idx="21">
                  <c:v>42.341883574137022</c:v>
                </c:pt>
                <c:pt idx="22">
                  <c:v>48.732283159784465</c:v>
                </c:pt>
                <c:pt idx="23">
                  <c:v>40.295521200628478</c:v>
                </c:pt>
                <c:pt idx="24">
                  <c:v>40.963129251036506</c:v>
                </c:pt>
                <c:pt idx="25">
                  <c:v>42.341899372018943</c:v>
                </c:pt>
                <c:pt idx="26">
                  <c:v>44.923872976769658</c:v>
                </c:pt>
                <c:pt idx="27">
                  <c:v>42.762032180854035</c:v>
                </c:pt>
                <c:pt idx="28">
                  <c:v>46.2946098216972</c:v>
                </c:pt>
                <c:pt idx="29">
                  <c:v>42.341452090744312</c:v>
                </c:pt>
                <c:pt idx="30">
                  <c:v>40.355745492660304</c:v>
                </c:pt>
                <c:pt idx="31">
                  <c:v>36.021923037796739</c:v>
                </c:pt>
                <c:pt idx="32">
                  <c:v>44.702871362852967</c:v>
                </c:pt>
                <c:pt idx="33">
                  <c:v>42.185773980476462</c:v>
                </c:pt>
                <c:pt idx="34">
                  <c:v>51.089288821174939</c:v>
                </c:pt>
                <c:pt idx="35">
                  <c:v>44.820093416341521</c:v>
                </c:pt>
                <c:pt idx="36">
                  <c:v>48.977517926050695</c:v>
                </c:pt>
                <c:pt idx="37">
                  <c:v>44.857641693697808</c:v>
                </c:pt>
                <c:pt idx="38">
                  <c:v>48.979847646940016</c:v>
                </c:pt>
                <c:pt idx="39">
                  <c:v>44.83512073701106</c:v>
                </c:pt>
                <c:pt idx="40">
                  <c:v>47.722150024085565</c:v>
                </c:pt>
                <c:pt idx="41">
                  <c:v>41.362781478677604</c:v>
                </c:pt>
                <c:pt idx="42">
                  <c:v>49.270305864703872</c:v>
                </c:pt>
                <c:pt idx="43">
                  <c:v>44.822340792516613</c:v>
                </c:pt>
                <c:pt idx="44">
                  <c:v>43.489208200130058</c:v>
                </c:pt>
                <c:pt idx="45">
                  <c:v>40.29129762507425</c:v>
                </c:pt>
                <c:pt idx="46">
                  <c:v>41.521588856960854</c:v>
                </c:pt>
                <c:pt idx="47">
                  <c:v>42.835212207537758</c:v>
                </c:pt>
                <c:pt idx="48">
                  <c:v>50.214719327104461</c:v>
                </c:pt>
                <c:pt idx="49">
                  <c:v>40.296367138208893</c:v>
                </c:pt>
                <c:pt idx="50">
                  <c:v>38.128965801600685</c:v>
                </c:pt>
                <c:pt idx="51">
                  <c:v>35.989741808256582</c:v>
                </c:pt>
                <c:pt idx="52">
                  <c:v>46.48372876031182</c:v>
                </c:pt>
                <c:pt idx="53">
                  <c:v>40.286623077903108</c:v>
                </c:pt>
                <c:pt idx="54">
                  <c:v>48.032687059895146</c:v>
                </c:pt>
                <c:pt idx="55">
                  <c:v>45.342764687473462</c:v>
                </c:pt>
                <c:pt idx="56">
                  <c:v>47.685896180996593</c:v>
                </c:pt>
                <c:pt idx="57">
                  <c:v>42.944529784860279</c:v>
                </c:pt>
                <c:pt idx="58">
                  <c:v>47.245229900420597</c:v>
                </c:pt>
                <c:pt idx="59">
                  <c:v>45.594971634872856</c:v>
                </c:pt>
                <c:pt idx="60">
                  <c:v>46.882858863668829</c:v>
                </c:pt>
                <c:pt idx="61">
                  <c:v>42.761694453487308</c:v>
                </c:pt>
                <c:pt idx="62">
                  <c:v>65.688581946123321</c:v>
                </c:pt>
                <c:pt idx="63">
                  <c:v>62.887753110635487</c:v>
                </c:pt>
                <c:pt idx="64">
                  <c:v>66.126659936677726</c:v>
                </c:pt>
                <c:pt idx="65">
                  <c:v>65.883968417687953</c:v>
                </c:pt>
                <c:pt idx="66">
                  <c:v>42.287934939916333</c:v>
                </c:pt>
                <c:pt idx="67">
                  <c:v>35.987183332600239</c:v>
                </c:pt>
                <c:pt idx="68">
                  <c:v>45.47510257059168</c:v>
                </c:pt>
                <c:pt idx="69">
                  <c:v>42.768923453873597</c:v>
                </c:pt>
                <c:pt idx="70">
                  <c:v>53.205170227322398</c:v>
                </c:pt>
                <c:pt idx="71">
                  <c:v>59.004059141794428</c:v>
                </c:pt>
                <c:pt idx="72">
                  <c:v>63.843688448222927</c:v>
                </c:pt>
                <c:pt idx="73">
                  <c:v>67.45522324597772</c:v>
                </c:pt>
                <c:pt idx="74">
                  <c:v>61.31623721877903</c:v>
                </c:pt>
                <c:pt idx="75">
                  <c:v>59.540017015084757</c:v>
                </c:pt>
                <c:pt idx="76">
                  <c:v>61.647811864696479</c:v>
                </c:pt>
                <c:pt idx="77">
                  <c:v>56.977909507314017</c:v>
                </c:pt>
                <c:pt idx="78">
                  <c:v>61.329177126178159</c:v>
                </c:pt>
                <c:pt idx="79">
                  <c:v>62.637050944032104</c:v>
                </c:pt>
                <c:pt idx="80">
                  <c:v>67.121492142020756</c:v>
                </c:pt>
                <c:pt idx="81">
                  <c:v>59.843107131271843</c:v>
                </c:pt>
                <c:pt idx="82">
                  <c:v>64.645314886366009</c:v>
                </c:pt>
                <c:pt idx="83">
                  <c:v>63.964896238433653</c:v>
                </c:pt>
                <c:pt idx="84">
                  <c:v>64.440196752307585</c:v>
                </c:pt>
                <c:pt idx="85">
                  <c:v>64.281452951025699</c:v>
                </c:pt>
                <c:pt idx="86">
                  <c:v>62.280657722390252</c:v>
                </c:pt>
                <c:pt idx="87">
                  <c:v>63.75914065702942</c:v>
                </c:pt>
                <c:pt idx="88">
                  <c:v>64.459443162404554</c:v>
                </c:pt>
                <c:pt idx="89">
                  <c:v>59.875837357006112</c:v>
                </c:pt>
                <c:pt idx="90">
                  <c:v>64.174151856789692</c:v>
                </c:pt>
                <c:pt idx="91">
                  <c:v>63.702556250659129</c:v>
                </c:pt>
                <c:pt idx="92">
                  <c:v>67.10753118315435</c:v>
                </c:pt>
                <c:pt idx="93">
                  <c:v>57.067129814922865</c:v>
                </c:pt>
                <c:pt idx="94">
                  <c:v>62.048170909885918</c:v>
                </c:pt>
                <c:pt idx="95">
                  <c:v>63.512753773458975</c:v>
                </c:pt>
                <c:pt idx="96">
                  <c:v>62.326168911160423</c:v>
                </c:pt>
                <c:pt idx="97">
                  <c:v>60.09883681712126</c:v>
                </c:pt>
                <c:pt idx="98">
                  <c:v>63.924179776882596</c:v>
                </c:pt>
                <c:pt idx="99">
                  <c:v>63.016566640353268</c:v>
                </c:pt>
                <c:pt idx="100">
                  <c:v>45.911373665924366</c:v>
                </c:pt>
                <c:pt idx="101">
                  <c:v>41.347135164429545</c:v>
                </c:pt>
                <c:pt idx="102">
                  <c:v>42.410120530327504</c:v>
                </c:pt>
                <c:pt idx="103">
                  <c:v>36.293607322885208</c:v>
                </c:pt>
                <c:pt idx="104">
                  <c:v>67.113187317822849</c:v>
                </c:pt>
                <c:pt idx="105">
                  <c:v>62.785790581976713</c:v>
                </c:pt>
                <c:pt idx="106">
                  <c:v>64.21541291915878</c:v>
                </c:pt>
                <c:pt idx="107">
                  <c:v>59.707655911824446</c:v>
                </c:pt>
              </c:numCache>
            </c:numRef>
          </c:xVal>
          <c:yVal>
            <c:numRef>
              <c:f>Trip_Input!$BW$5:$BW$112</c:f>
              <c:numCache>
                <c:formatCode>0.000</c:formatCode>
                <c:ptCount val="108"/>
                <c:pt idx="0">
                  <c:v>0.94394772654564496</c:v>
                </c:pt>
                <c:pt idx="1">
                  <c:v>#N/A</c:v>
                </c:pt>
                <c:pt idx="2">
                  <c:v>0.94375481985645326</c:v>
                </c:pt>
                <c:pt idx="3">
                  <c:v>#N/A</c:v>
                </c:pt>
                <c:pt idx="4">
                  <c:v>1.074518558033722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0.85616204976255528</c:v>
                </c:pt>
                <c:pt idx="63">
                  <c:v>#N/A</c:v>
                </c:pt>
                <c:pt idx="64">
                  <c:v>0.85742514436576278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1.0209752100523113</c:v>
                </c:pt>
                <c:pt idx="71">
                  <c:v>#N/A</c:v>
                </c:pt>
                <c:pt idx="72">
                  <c:v>0.78469300159202016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B0-4A71-B906-031036A4742E}"/>
            </c:ext>
          </c:extLst>
        </c:ser>
        <c:ser>
          <c:idx val="1"/>
          <c:order val="1"/>
          <c:tx>
            <c:v>Diesel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67E22"/>
              </a:solidFill>
              <a:ln>
                <a:solidFill>
                  <a:srgbClr val="E67E22"/>
                </a:solidFill>
                <a:prstDash val="solid"/>
              </a:ln>
            </c:spPr>
          </c:marker>
          <c:xVal>
            <c:numRef>
              <c:f>Trip_Input!$AP$5:$AP$112</c:f>
              <c:numCache>
                <c:formatCode>0.000</c:formatCode>
                <c:ptCount val="108"/>
                <c:pt idx="0">
                  <c:v>69.11154120244322</c:v>
                </c:pt>
                <c:pt idx="1">
                  <c:v>63.460767866371924</c:v>
                </c:pt>
                <c:pt idx="2">
                  <c:v>69.098086819344232</c:v>
                </c:pt>
                <c:pt idx="3">
                  <c:v>66.42225595059594</c:v>
                </c:pt>
                <c:pt idx="4">
                  <c:v>64.616756627859601</c:v>
                </c:pt>
                <c:pt idx="5">
                  <c:v>59.679115606607738</c:v>
                </c:pt>
                <c:pt idx="6">
                  <c:v>42.80810564129095</c:v>
                </c:pt>
                <c:pt idx="7">
                  <c:v>44.784536201483526</c:v>
                </c:pt>
                <c:pt idx="8">
                  <c:v>47.253841991330667</c:v>
                </c:pt>
                <c:pt idx="9">
                  <c:v>44.821614085784951</c:v>
                </c:pt>
                <c:pt idx="10">
                  <c:v>49.306618200865572</c:v>
                </c:pt>
                <c:pt idx="11">
                  <c:v>44.792170199200548</c:v>
                </c:pt>
                <c:pt idx="12">
                  <c:v>44.761538696895464</c:v>
                </c:pt>
                <c:pt idx="13">
                  <c:v>44.849027767870126</c:v>
                </c:pt>
                <c:pt idx="14">
                  <c:v>48.109431090638431</c:v>
                </c:pt>
                <c:pt idx="15">
                  <c:v>45.043540593222332</c:v>
                </c:pt>
                <c:pt idx="16">
                  <c:v>41.13690324412201</c:v>
                </c:pt>
                <c:pt idx="17">
                  <c:v>41.353121466683596</c:v>
                </c:pt>
                <c:pt idx="18">
                  <c:v>47.637753211593449</c:v>
                </c:pt>
                <c:pt idx="19">
                  <c:v>44.798056554140565</c:v>
                </c:pt>
                <c:pt idx="20">
                  <c:v>44.633872553714362</c:v>
                </c:pt>
                <c:pt idx="21">
                  <c:v>42.341883574137022</c:v>
                </c:pt>
                <c:pt idx="22">
                  <c:v>48.732283159784465</c:v>
                </c:pt>
                <c:pt idx="23">
                  <c:v>40.295521200628478</c:v>
                </c:pt>
                <c:pt idx="24">
                  <c:v>40.963129251036506</c:v>
                </c:pt>
                <c:pt idx="25">
                  <c:v>42.341899372018943</c:v>
                </c:pt>
                <c:pt idx="26">
                  <c:v>44.923872976769658</c:v>
                </c:pt>
                <c:pt idx="27">
                  <c:v>42.762032180854035</c:v>
                </c:pt>
                <c:pt idx="28">
                  <c:v>46.2946098216972</c:v>
                </c:pt>
                <c:pt idx="29">
                  <c:v>42.341452090744312</c:v>
                </c:pt>
                <c:pt idx="30">
                  <c:v>40.355745492660304</c:v>
                </c:pt>
                <c:pt idx="31">
                  <c:v>36.021923037796739</c:v>
                </c:pt>
                <c:pt idx="32">
                  <c:v>44.702871362852967</c:v>
                </c:pt>
                <c:pt idx="33">
                  <c:v>42.185773980476462</c:v>
                </c:pt>
                <c:pt idx="34">
                  <c:v>51.089288821174939</c:v>
                </c:pt>
                <c:pt idx="35">
                  <c:v>44.820093416341521</c:v>
                </c:pt>
                <c:pt idx="36">
                  <c:v>48.977517926050695</c:v>
                </c:pt>
                <c:pt idx="37">
                  <c:v>44.857641693697808</c:v>
                </c:pt>
                <c:pt idx="38">
                  <c:v>48.979847646940016</c:v>
                </c:pt>
                <c:pt idx="39">
                  <c:v>44.83512073701106</c:v>
                </c:pt>
                <c:pt idx="40">
                  <c:v>47.722150024085565</c:v>
                </c:pt>
                <c:pt idx="41">
                  <c:v>41.362781478677604</c:v>
                </c:pt>
                <c:pt idx="42">
                  <c:v>49.270305864703872</c:v>
                </c:pt>
                <c:pt idx="43">
                  <c:v>44.822340792516613</c:v>
                </c:pt>
                <c:pt idx="44">
                  <c:v>43.489208200130058</c:v>
                </c:pt>
                <c:pt idx="45">
                  <c:v>40.29129762507425</c:v>
                </c:pt>
                <c:pt idx="46">
                  <c:v>41.521588856960854</c:v>
                </c:pt>
                <c:pt idx="47">
                  <c:v>42.835212207537758</c:v>
                </c:pt>
                <c:pt idx="48">
                  <c:v>50.214719327104461</c:v>
                </c:pt>
                <c:pt idx="49">
                  <c:v>40.296367138208893</c:v>
                </c:pt>
                <c:pt idx="50">
                  <c:v>38.128965801600685</c:v>
                </c:pt>
                <c:pt idx="51">
                  <c:v>35.989741808256582</c:v>
                </c:pt>
                <c:pt idx="52">
                  <c:v>46.48372876031182</c:v>
                </c:pt>
                <c:pt idx="53">
                  <c:v>40.286623077903108</c:v>
                </c:pt>
                <c:pt idx="54">
                  <c:v>48.032687059895146</c:v>
                </c:pt>
                <c:pt idx="55">
                  <c:v>45.342764687473462</c:v>
                </c:pt>
                <c:pt idx="56">
                  <c:v>47.685896180996593</c:v>
                </c:pt>
                <c:pt idx="57">
                  <c:v>42.944529784860279</c:v>
                </c:pt>
                <c:pt idx="58">
                  <c:v>47.245229900420597</c:v>
                </c:pt>
                <c:pt idx="59">
                  <c:v>45.594971634872856</c:v>
                </c:pt>
                <c:pt idx="60">
                  <c:v>46.882858863668829</c:v>
                </c:pt>
                <c:pt idx="61">
                  <c:v>42.761694453487308</c:v>
                </c:pt>
                <c:pt idx="62">
                  <c:v>65.688581946123321</c:v>
                </c:pt>
                <c:pt idx="63">
                  <c:v>62.887753110635487</c:v>
                </c:pt>
                <c:pt idx="64">
                  <c:v>66.126659936677726</c:v>
                </c:pt>
                <c:pt idx="65">
                  <c:v>65.883968417687953</c:v>
                </c:pt>
                <c:pt idx="66">
                  <c:v>42.287934939916333</c:v>
                </c:pt>
                <c:pt idx="67">
                  <c:v>35.987183332600239</c:v>
                </c:pt>
                <c:pt idx="68">
                  <c:v>45.47510257059168</c:v>
                </c:pt>
                <c:pt idx="69">
                  <c:v>42.768923453873597</c:v>
                </c:pt>
                <c:pt idx="70">
                  <c:v>53.205170227322398</c:v>
                </c:pt>
                <c:pt idx="71">
                  <c:v>59.004059141794428</c:v>
                </c:pt>
                <c:pt idx="72">
                  <c:v>63.843688448222927</c:v>
                </c:pt>
                <c:pt idx="73">
                  <c:v>67.45522324597772</c:v>
                </c:pt>
                <c:pt idx="74">
                  <c:v>61.31623721877903</c:v>
                </c:pt>
                <c:pt idx="75">
                  <c:v>59.540017015084757</c:v>
                </c:pt>
                <c:pt idx="76">
                  <c:v>61.647811864696479</c:v>
                </c:pt>
                <c:pt idx="77">
                  <c:v>56.977909507314017</c:v>
                </c:pt>
                <c:pt idx="78">
                  <c:v>61.329177126178159</c:v>
                </c:pt>
                <c:pt idx="79">
                  <c:v>62.637050944032104</c:v>
                </c:pt>
                <c:pt idx="80">
                  <c:v>67.121492142020756</c:v>
                </c:pt>
                <c:pt idx="81">
                  <c:v>59.843107131271843</c:v>
                </c:pt>
                <c:pt idx="82">
                  <c:v>64.645314886366009</c:v>
                </c:pt>
                <c:pt idx="83">
                  <c:v>63.964896238433653</c:v>
                </c:pt>
                <c:pt idx="84">
                  <c:v>64.440196752307585</c:v>
                </c:pt>
                <c:pt idx="85">
                  <c:v>64.281452951025699</c:v>
                </c:pt>
                <c:pt idx="86">
                  <c:v>62.280657722390252</c:v>
                </c:pt>
                <c:pt idx="87">
                  <c:v>63.75914065702942</c:v>
                </c:pt>
                <c:pt idx="88">
                  <c:v>64.459443162404554</c:v>
                </c:pt>
                <c:pt idx="89">
                  <c:v>59.875837357006112</c:v>
                </c:pt>
                <c:pt idx="90">
                  <c:v>64.174151856789692</c:v>
                </c:pt>
                <c:pt idx="91">
                  <c:v>63.702556250659129</c:v>
                </c:pt>
                <c:pt idx="92">
                  <c:v>67.10753118315435</c:v>
                </c:pt>
                <c:pt idx="93">
                  <c:v>57.067129814922865</c:v>
                </c:pt>
                <c:pt idx="94">
                  <c:v>62.048170909885918</c:v>
                </c:pt>
                <c:pt idx="95">
                  <c:v>63.512753773458975</c:v>
                </c:pt>
                <c:pt idx="96">
                  <c:v>62.326168911160423</c:v>
                </c:pt>
                <c:pt idx="97">
                  <c:v>60.09883681712126</c:v>
                </c:pt>
                <c:pt idx="98">
                  <c:v>63.924179776882596</c:v>
                </c:pt>
                <c:pt idx="99">
                  <c:v>63.016566640353268</c:v>
                </c:pt>
                <c:pt idx="100">
                  <c:v>45.911373665924366</c:v>
                </c:pt>
                <c:pt idx="101">
                  <c:v>41.347135164429545</c:v>
                </c:pt>
                <c:pt idx="102">
                  <c:v>42.410120530327504</c:v>
                </c:pt>
                <c:pt idx="103">
                  <c:v>36.293607322885208</c:v>
                </c:pt>
                <c:pt idx="104">
                  <c:v>67.113187317822849</c:v>
                </c:pt>
                <c:pt idx="105">
                  <c:v>62.785790581976713</c:v>
                </c:pt>
                <c:pt idx="106">
                  <c:v>64.21541291915878</c:v>
                </c:pt>
                <c:pt idx="107">
                  <c:v>59.707655911824446</c:v>
                </c:pt>
              </c:numCache>
            </c:numRef>
          </c:xVal>
          <c:yVal>
            <c:numRef>
              <c:f>Trip_Input!$BX$5:$BX$112</c:f>
              <c:numCache>
                <c:formatCode>0.000</c:formatCode>
                <c:ptCount val="108"/>
                <c:pt idx="0">
                  <c:v>#N/A</c:v>
                </c:pt>
                <c:pt idx="1">
                  <c:v>2.3055532805585282</c:v>
                </c:pt>
                <c:pt idx="2">
                  <c:v>#N/A</c:v>
                </c:pt>
                <c:pt idx="3">
                  <c:v>2.4071937650664141</c:v>
                </c:pt>
                <c:pt idx="4">
                  <c:v>#N/A</c:v>
                </c:pt>
                <c:pt idx="5">
                  <c:v>2.7422786619740842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2.3037664035447958</c:v>
                </c:pt>
                <c:pt idx="64">
                  <c:v>#N/A</c:v>
                </c:pt>
                <c:pt idx="65">
                  <c:v>2.4013105835527213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2.7343500991004506</c:v>
                </c:pt>
                <c:pt idx="72">
                  <c:v>#N/A</c:v>
                </c:pt>
                <c:pt idx="73">
                  <c:v>2.3876463670754031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B0-4A71-B906-031036A47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858847"/>
        <c:axId val="1680853855"/>
      </c:scatterChart>
      <c:valAx>
        <c:axId val="1680858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moving speed · km/h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680853855"/>
        <c:crosses val="autoZero"/>
        <c:crossBetween val="midCat"/>
      </c:valAx>
      <c:valAx>
        <c:axId val="16808538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SEC · kWh/km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680858847"/>
        <c:crosses val="autoZero"/>
        <c:crossBetween val="midCat"/>
      </c:valAx>
    </c:plotArea>
    <c:legend>
      <c:legendPos val="b"/>
      <c:layout/>
      <c:overlay val="0"/>
    </c:legend>
    <c:plotVisOnly val="0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4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4" Type="http://schemas.openxmlformats.org/officeDocument/2006/relationships/image" Target="../media/image4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4" Type="http://schemas.openxmlformats.org/officeDocument/2006/relationships/image" Target="../media/image4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4" Type="http://schemas.openxmlformats.org/officeDocument/2006/relationships/image" Target="../media/image5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4" Type="http://schemas.openxmlformats.org/officeDocument/2006/relationships/image" Target="../media/image5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4" Type="http://schemas.openxmlformats.org/officeDocument/2006/relationships/image" Target="../media/image60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4" Type="http://schemas.openxmlformats.org/officeDocument/2006/relationships/image" Target="../media/image6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66.png"/><Relationship Id="rId1" Type="http://schemas.openxmlformats.org/officeDocument/2006/relationships/image" Target="../media/image65.png"/><Relationship Id="rId4" Type="http://schemas.openxmlformats.org/officeDocument/2006/relationships/image" Target="../media/image68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4" Type="http://schemas.openxmlformats.org/officeDocument/2006/relationships/image" Target="../media/image7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4" Type="http://schemas.openxmlformats.org/officeDocument/2006/relationships/image" Target="../media/image7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4" Type="http://schemas.openxmlformats.org/officeDocument/2006/relationships/image" Target="../media/image80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4" Type="http://schemas.openxmlformats.org/officeDocument/2006/relationships/image" Target="../media/image88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1.png"/><Relationship Id="rId2" Type="http://schemas.openxmlformats.org/officeDocument/2006/relationships/image" Target="../media/image90.png"/><Relationship Id="rId1" Type="http://schemas.openxmlformats.org/officeDocument/2006/relationships/image" Target="../media/image89.png"/><Relationship Id="rId4" Type="http://schemas.openxmlformats.org/officeDocument/2006/relationships/image" Target="../media/image9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5.png"/><Relationship Id="rId2" Type="http://schemas.openxmlformats.org/officeDocument/2006/relationships/image" Target="../media/image94.png"/><Relationship Id="rId1" Type="http://schemas.openxmlformats.org/officeDocument/2006/relationships/image" Target="../media/image93.png"/><Relationship Id="rId4" Type="http://schemas.openxmlformats.org/officeDocument/2006/relationships/image" Target="../media/image9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11</xdr:col>
      <xdr:colOff>0</xdr:colOff>
      <xdr:row>51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22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11</xdr:col>
      <xdr:colOff>0</xdr:colOff>
      <xdr:row>68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22</xdr:col>
      <xdr:colOff>0</xdr:colOff>
      <xdr:row>68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11</xdr:col>
      <xdr:colOff>0</xdr:colOff>
      <xdr:row>85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22</xdr:col>
      <xdr:colOff>0</xdr:colOff>
      <xdr:row>85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87</xdr:row>
      <xdr:rowOff>0</xdr:rowOff>
    </xdr:from>
    <xdr:to>
      <xdr:col>22</xdr:col>
      <xdr:colOff>0</xdr:colOff>
      <xdr:row>100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23900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239000" cy="3714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47</xdr:row>
      <xdr:rowOff>0</xdr:rowOff>
    </xdr:from>
    <xdr:ext cx="7239000" cy="3714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70</xdr:row>
      <xdr:rowOff>0</xdr:rowOff>
    </xdr:from>
    <xdr:ext cx="7239000" cy="3714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2" name="Routes" displayName="Routes" ref="A80:G86" totalsRowShown="0" headerRowDxfId="87" dataDxfId="86">
  <autoFilter ref="A80:G86"/>
  <tableColumns count="7">
    <tableColumn id="1" name="Corridor" dataDxfId="85"/>
    <tableColumn id="2" name="Direction" dataDxfId="84"/>
    <tableColumn id="3" name="Origin" dataDxfId="83"/>
    <tableColumn id="4" name="Destination" dataDxfId="82"/>
    <tableColumn id="5" name="Origin elevation (m)" dataDxfId="81"/>
    <tableColumn id="6" name="Destination elevation (m)" dataDxfId="80"/>
    <tableColumn id="7" name="Net elevation (m)" dataDxfId="79">
      <calculatedColumnFormula>F81-E81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rips" displayName="Trips" ref="A4:BX112" totalsRowShown="0" headerRowDxfId="77" dataDxfId="76">
  <autoFilter ref="A4:BX112"/>
  <tableColumns count="76">
    <tableColumn id="1" name="Trip ID" dataDxfId="75"/>
    <tableColumn id="2" name="Pair ID" dataDxfId="74"/>
    <tableColumn id="3" name="Date" dataDxfId="73"/>
    <tableColumn id="4" name="Bus Type" dataDxfId="72"/>
    <tableColumn id="5" name="Corridor" dataDxfId="71"/>
    <tableColumn id="6" name="Direction" dataDxfId="70"/>
    <tableColumn id="7" name="Start Time" dataDxfId="69"/>
    <tableColumn id="8" name="t Charging (min)" dataDxfId="68"/>
    <tableColumn id="9" name="t Stop (min)" dataDxfId="67"/>
    <tableColumn id="10" name="t Idle (min)" dataDxfId="66"/>
    <tableColumn id="11" name="t Inching (min)" dataDxfId="65"/>
    <tableColumn id="12" name="t Acc (min)" dataDxfId="64"/>
    <tableColumn id="13" name="t Dec (min)" dataDxfId="63"/>
    <tableColumn id="14" name="t Cruise (min)" dataDxfId="62"/>
    <tableColumn id="15" name="d Charging (km)" dataDxfId="61"/>
    <tableColumn id="16" name="d Stop (km)" dataDxfId="60"/>
    <tableColumn id="17" name="d Idle (km)" dataDxfId="59"/>
    <tableColumn id="18" name="d Inching (km)" dataDxfId="58"/>
    <tableColumn id="19" name="d Acc (km)" dataDxfId="57"/>
    <tableColumn id="20" name="d Dec (km)" dataDxfId="56"/>
    <tableColumn id="21" name="d Cruise (km)" dataDxfId="55"/>
    <tableColumn id="22" name="Passengers" dataDxfId="54"/>
    <tableColumn id="23" name="Ambient temp (C)" dataDxfId="53"/>
    <tableColumn id="24" name="Accel measured (m/s2)" dataDxfId="52"/>
    <tableColumn id="25" name="Measured EV energy (kWh)" dataDxfId="51"/>
    <tableColumn id="26" name="Measured diesel (L)" dataDxfId="50"/>
    <tableColumn id="27" name="Data check" dataDxfId="49">
      <calculatedColumnFormula>IF(AND(D5&lt;&gt;"EV",D5&lt;&gt;"Diesel"),"Invalid vehicle",IF(COUNTIFS(Routes[Corridor],E5,Routes[Direction],F5)=0,"Unknown route",IF(C5="","Missing date",IF(SUM(O5:U5)&lt;=0,"No distance","OK"))))</calculatedColumnFormula>
    </tableColumn>
    <tableColumn id="28" name="Month" dataDxfId="48">
      <calculatedColumnFormula>IF(C5="","",DATE(YEAR(C5),MONTH(C5),1))</calculatedColumnFormula>
    </tableColumn>
    <tableColumn id="29" name="Unique trip" dataDxfId="47">
      <calculatedColumnFormula>--(COUNTIFS($C$5:C5,C5,$D$5:D5,D5,$G$5:G5,G5,$F$5:F5,F5)=1)</calculatedColumnFormula>
    </tableColumn>
    <tableColumn id="30" name="Flag route" dataDxfId="46">
      <calculatedColumnFormula>--AND(AA5="OK",OR(TAT_Sel_Basis="All pair instances",AC5=1),OR(TAT_Sel_Corridor="All",E5=TAT_Sel_Corridor),OR(TAT_Sel_DirEff="All",F5=TAT_Sel_DirEff))</calculatedColumnFormula>
    </tableColumn>
    <tableColumn id="31" name="Flag period" dataDxfId="45">
      <calculatedColumnFormula>--AND(AA5="OK",OR(TAT_Sel_Basis="All pair instances",AC5=1),OR(TAT_Sel_Month="All",TEXT(AB5,"mmm yyyy")=TAT_Sel_Month))</calculatedColumnFormula>
    </tableColumn>
    <tableColumn id="32" name="Flag all" dataDxfId="44">
      <calculatedColumnFormula>AD5*AE5</calculatedColumnFormula>
    </tableColumn>
    <tableColumn id="33" name="Net elevation (m)" dataDxfId="43">
      <calculatedColumnFormula>SUMIFS(Routes[Net elevation (m)],Routes[Corridor],E5,Routes[Direction],F5)</calculatedColumnFormula>
    </tableColumn>
    <tableColumn id="34" name="Mass (kg)" dataDxfId="42">
      <calculatedColumnFormula>IF(D5="EV",TAT_Kerb_EV,TAT_Kerb_D)+IF(V5="",TAT_Pax_Default,V5)*TAT_Pax_Mass</calculatedColumnFormula>
    </tableColumn>
    <tableColumn id="35" name="Accel used (m/s2)" dataDxfId="41">
      <calculatedColumnFormula>IF(X5="",IF(D5="EV",TAT_Acc_EV,TAT_Acc_D),X5)</calculatedColumnFormula>
    </tableColumn>
    <tableColumn id="36" name="Aux power (kW)" dataDxfId="40">
      <calculatedColumnFormula>IF(D5="EV",TAT_AuxBase_EV,TAT_AuxBase_D)+TAT_HVAC_k*MAX(0,IF(W5="",TAT_Temp_Default,W5)-TAT_HVAC_Tset)</calculatedColumnFormula>
    </tableColumn>
    <tableColumn id="37" name="Distance (km)" dataDxfId="39">
      <calculatedColumnFormula>SUM(O5:U5)</calculatedColumnFormula>
    </tableColumn>
    <tableColumn id="38" name="Trip time incl charging (h)" dataDxfId="38">
      <calculatedColumnFormula>SUM(H5:N5)/60</calculatedColumnFormula>
    </tableColumn>
    <tableColumn id="39" name="Operating time (h)" dataDxfId="37">
      <calculatedColumnFormula>SUM(I5:N5)/60</calculatedColumnFormula>
    </tableColumn>
    <tableColumn id="40" name="Stationary time (h)" dataDxfId="36">
      <calculatedColumnFormula>SUM(I5:J5)/60</calculatedColumnFormula>
    </tableColumn>
    <tableColumn id="41" name="Moving time (h)" dataDxfId="35">
      <calculatedColumnFormula>SUM(K5:N5)/60</calculatedColumnFormula>
    </tableColumn>
    <tableColumn id="42" name="Moving speed (km/h)" dataDxfId="34">
      <calculatedColumnFormula>IFERROR(SUM(R5:U5)/AO5,0)</calculatedColumnFormula>
    </tableColumn>
    <tableColumn id="43" name="v Inching (km/h)" dataDxfId="33">
      <calculatedColumnFormula>IFERROR(R5/(K5/60),0)</calculatedColumnFormula>
    </tableColumn>
    <tableColumn id="44" name="v Acc (km/h)" dataDxfId="32">
      <calculatedColumnFormula>IFERROR(S5/(L5/60),0)</calculatedColumnFormula>
    </tableColumn>
    <tableColumn id="45" name="v Dec (km/h)" dataDxfId="31">
      <calculatedColumnFormula>IFERROR(T5/(M5/60),0)</calculatedColumnFormula>
    </tableColumn>
    <tableColumn id="46" name="v Cruise (km/h)" dataDxfId="30">
      <calculatedColumnFormula>IFERROR(U5/(N5/60),0)</calculatedColumnFormula>
    </tableColumn>
    <tableColumn id="47" name="Road-load traction (kWh)" dataDxfId="29">
      <calculatedColumnFormula>(IF(D5="EV",TAT_Crr_EV,TAT_Crr_D)*AH5*TAT_G_acc*(AK5-T5)+IF(D5="EV",TAT_Kaero_EV,TAT_Kaero_D)*((AQ5/3.6)^2*R5+(AR5/3.6)^2*S5+(AT5/3.6)^2*U5))/3600</calculatedColumnFormula>
    </tableColumn>
    <tableColumn id="48" name="Road-load Dec (kWh)" dataDxfId="28">
      <calculatedColumnFormula>(IF(D5="EV",TAT_Crr_EV,TAT_Crr_D)*AH5*TAT_G_acc+IF(D5="EV",TAT_Kaero_EV,TAT_Kaero_D)*(AS5/3.6)^2)*T5/3600</calculatedColumnFormula>
    </tableColumn>
    <tableColumn id="49" name="Inertial energy (kWh)" dataDxfId="27">
      <calculatedColumnFormula>AH5*AI5*S5/3600</calculatedColumnFormula>
    </tableColumn>
    <tableColumn id="50" name="Grade energy (kWh)" dataDxfId="26">
      <calculatedColumnFormula>AH5*TAT_G_acc*AG5/3600000</calculatedColumnFormula>
    </tableColumn>
    <tableColumn id="51" name="Road-load net (kWh)" dataDxfId="25">
      <calculatedColumnFormula>AU5+MAX(0,AV5-AW5)</calculatedColumnFormula>
    </tableColumn>
    <tableColumn id="52" name="Gradient wheel (kWh)" dataDxfId="24">
      <calculatedColumnFormula>MAX(0,AX5)-TAT_Descent_Share*MAX(0,-AX5)</calculatedColumnFormula>
    </tableColumn>
    <tableColumn id="53" name="Braking energy (kWh)" dataDxfId="23">
      <calculatedColumnFormula>MAX(0,AW5-AV5)+(1-TAT_Descent_Share)*MAX(0,-AX5)</calculatedColumnFormula>
    </tableColumn>
    <tableColumn id="54" name="Wheel energy (kWh)" dataDxfId="22">
      <calculatedColumnFormula>MAX(0,AY5+AW5+AZ5)</calculatedColumnFormula>
    </tableColumn>
    <tableColumn id="55" name="Propulsion energy (kWh)" dataDxfId="21">
      <calculatedColumnFormula>BB5/IF(D5="EV",TAT_EtaPT_EV,TAT_EtaPT_D)</calculatedColumnFormula>
    </tableColumn>
    <tableColumn id="56" name="Auxiliary energy (kWh)" dataDxfId="20">
      <calculatedColumnFormula>IF(D5="EV",AJ5*AM5,AJ5*AO5/TAT_EtaEng_D)</calculatedColumnFormula>
    </tableColumn>
    <tableColumn id="57" name="Idle fuel energy (kWh)" dataDxfId="19">
      <calculatedColumnFormula>IF(D5="EV",0,TAT_IdleFuel_D*AN5*TAT_LHV_kWhL)</calculatedColumnFormula>
    </tableColumn>
    <tableColumn id="58" name="Regen recovered (kWh)" dataDxfId="18">
      <calculatedColumnFormula>IF(D5="EV",TAT_Regen_EV*TAT_EtaPT_EV*BA5,0)</calculatedColumnFormula>
    </tableColumn>
    <tableColumn id="59" name="Modelled energy (kWh)" dataDxfId="17">
      <calculatedColumnFormula>BC5+BD5+BE5-BF5</calculatedColumnFormula>
    </tableColumn>
    <tableColumn id="60" name="Measured energy (kWh eq)" dataDxfId="16">
      <calculatedColumnFormula>IF(D5="EV",IF(Y5="","",Y5),IF(Z5="","",Z5*TAT_LHV_kWhL))</calculatedColumnFormula>
    </tableColumn>
    <tableColumn id="61" name="Calibration factor" dataDxfId="15">
      <calculatedColumnFormula>IF(TAT_Cal_Apply="Yes",IF(D5="EV",TAT_CF_EV,TAT_CF_D),1)</calculatedColumnFormula>
    </tableColumn>
    <tableColumn id="62" name="Energy consumed (kWh)" dataDxfId="14">
      <calculatedColumnFormula>BG5*BI5</calculatedColumnFormula>
    </tableColumn>
    <tableColumn id="63" name="Energy consumed (MJ)" dataDxfId="13">
      <calculatedColumnFormula>BJ5*3.6</calculatedColumnFormula>
    </tableColumn>
    <tableColumn id="64" name="Diesel consumed (L)" dataDxfId="12">
      <calculatedColumnFormula>IF(D5="EV","",BJ5/TAT_LHV_kWhL)</calculatedColumnFormula>
    </tableColumn>
    <tableColumn id="65" name="EV grid energy (kWh)" dataDxfId="11">
      <calculatedColumnFormula>IF(D5="EV",BJ5/TAT_EtaCharger,"")</calculatedColumnFormula>
    </tableColumn>
    <tableColumn id="66" name="SEC (kWh/km)" dataDxfId="10">
      <calculatedColumnFormula>IFERROR(BJ5/AK5,"")</calculatedColumnFormula>
    </tableColumn>
    <tableColumn id="67" name="Efficiency (km/kWh)" dataDxfId="9">
      <calculatedColumnFormula>IFERROR(AK5/BJ5,"")</calculatedColumnFormula>
    </tableColumn>
    <tableColumn id="68" name="Fuel economy (km/L)" dataDxfId="8">
      <calculatedColumnFormula>IF(D5="EV","",IFERROR(AK5/BL5,""))</calculatedColumnFormula>
    </tableColumn>
    <tableColumn id="69" name="Powertrain efficiency (%)" dataDxfId="7">
      <calculatedColumnFormula>IFERROR(BB5/BJ5,"")</calculatedColumnFormula>
    </tableColumn>
    <tableColumn id="70" name="Energy cost (INR)" dataDxfId="6">
      <calculatedColumnFormula>IF(D5="EV",BM5*TAT_Tariff_EV,BL5*TAT_Price_Diesel)</calculatedColumnFormula>
    </tableColumn>
    <tableColumn id="71" name="CO2 (kg)" dataDxfId="5">
      <calculatedColumnFormula>IF(D5="EV",BM5*TAT_EF_Grid,BL5*TAT_EF_Diesel)</calculatedColumnFormula>
    </tableColumn>
    <tableColumn id="72" name="Cost per km (INR/km)" dataDxfId="4">
      <calculatedColumnFormula>IFERROR(BR5/AK5,"")</calculatedColumnFormula>
    </tableColumn>
    <tableColumn id="73" name="CO2 per km (kg/km)" dataDxfId="3">
      <calculatedColumnFormula>IFERROR(BS5/AK5,"")</calculatedColumnFormula>
    </tableColumn>
    <tableColumn id="74" name="Model error vs measured" dataDxfId="2">
      <calculatedColumnFormula>IF(AND(ISNUMBER(BH5),BH5&gt;0),BG5/BH5-1,"")</calculatedColumnFormula>
    </tableColumn>
    <tableColumn id="75" name="Chart SEC EV" dataDxfId="1">
      <calculatedColumnFormula>IF(AND(AF5=1,D5="EV"),BN5,NA())</calculatedColumnFormula>
    </tableColumn>
    <tableColumn id="76" name="Chart SEC Diesel" dataDxfId="0">
      <calculatedColumnFormula>IF(AND(AF5=1,D5="Diesel"),BN5,NA())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"/>
  <sheetViews>
    <sheetView workbookViewId="0"/>
  </sheetViews>
  <sheetFormatPr defaultRowHeight="14.25" x14ac:dyDescent="0.25"/>
  <cols>
    <col min="1" max="16384" width="9.140625" style="12"/>
  </cols>
  <sheetData>
    <row r="1" spans="1:12" x14ac:dyDescent="0.25">
      <c r="A1" s="12" t="s">
        <v>653</v>
      </c>
      <c r="B1" s="12" t="s">
        <v>654</v>
      </c>
      <c r="C1" s="12" t="s">
        <v>655</v>
      </c>
      <c r="D1" s="12" t="s">
        <v>656</v>
      </c>
      <c r="E1" s="12" t="s">
        <v>657</v>
      </c>
      <c r="F1" s="12" t="s">
        <v>658</v>
      </c>
      <c r="H1" s="12" t="s">
        <v>659</v>
      </c>
      <c r="I1" s="12" t="s">
        <v>660</v>
      </c>
    </row>
    <row r="2" spans="1:12" x14ac:dyDescent="0.25">
      <c r="A2" s="12" t="s">
        <v>661</v>
      </c>
      <c r="B2" s="12" t="s">
        <v>661</v>
      </c>
      <c r="C2" s="12" t="s">
        <v>661</v>
      </c>
      <c r="E2" s="12" t="s">
        <v>662</v>
      </c>
      <c r="F2" s="12" t="s">
        <v>444</v>
      </c>
      <c r="H2" s="12" t="s">
        <v>300</v>
      </c>
      <c r="I2" s="12" t="s">
        <v>29</v>
      </c>
      <c r="L2" s="12" t="str">
        <f>IF(OR(TAT_Sel_Direction="All",TAT_Sel_Direction=""),"All",IF(TAT_Sel_Corridor="All",TAT_Sel_Direction,IF(COUNTIFS(Routes[Corridor],TAT_Sel_Corridor,Routes[Direction],TAT_Sel_Direction)=0,"All",TAT_Sel_Direction)))</f>
        <v>All</v>
      </c>
    </row>
    <row r="3" spans="1:12" x14ac:dyDescent="0.25">
      <c r="A3" s="12" t="s">
        <v>29</v>
      </c>
      <c r="B3" s="12" t="str">
        <f>IFERROR(INDEX(Routes[Direction],_xlfn.AGGREGATE(15,6,(ROW(Routes[Direction])-ROW(INDEX(Routes[Direction],1))+1)/(((Routes[Corridor]=TAT_Sel_Corridor)+(TAT_Sel_Corridor="All"))&gt;0),ROWS($B$3:B3))),"")</f>
        <v>Maduravoyal → Silk Board</v>
      </c>
      <c r="C3" s="12" t="str">
        <f>TEXT(D3,"mmm yyyy")</f>
        <v>Jul 2026</v>
      </c>
      <c r="D3" s="12">
        <v>46204</v>
      </c>
      <c r="E3" s="12" t="s">
        <v>663</v>
      </c>
      <c r="F3" s="12" t="s">
        <v>445</v>
      </c>
      <c r="H3" s="12" t="s">
        <v>457</v>
      </c>
      <c r="I3" s="12" t="s">
        <v>531</v>
      </c>
      <c r="L3" s="12">
        <f>IFERROR(MATCH(TAT_Sel_Metric,$F$2:$F$5,0),1)</f>
        <v>1</v>
      </c>
    </row>
    <row r="4" spans="1:12" x14ac:dyDescent="0.25">
      <c r="A4" s="12" t="s">
        <v>531</v>
      </c>
      <c r="B4" s="12" t="str">
        <f>IFERROR(INDEX(Routes[Direction],_xlfn.AGGREGATE(15,6,(ROW(Routes[Direction])-ROW(INDEX(Routes[Direction],1))+1)/(((Routes[Corridor]=TAT_Sel_Corridor)+(TAT_Sel_Corridor="All"))&gt;0),ROWS($B$3:B4))),"")</f>
        <v>Silk Board → Maduravoyal</v>
      </c>
      <c r="C4" s="12" t="str">
        <f>TEXT(D4,"mmm yyyy")</f>
        <v>Sep 2026</v>
      </c>
      <c r="D4" s="12">
        <v>46266</v>
      </c>
      <c r="F4" s="12" t="s">
        <v>664</v>
      </c>
      <c r="I4" s="12" t="s">
        <v>35</v>
      </c>
    </row>
    <row r="5" spans="1:12" x14ac:dyDescent="0.25">
      <c r="A5" s="12" t="s">
        <v>35</v>
      </c>
      <c r="B5" s="12" t="str">
        <f>IFERROR(INDEX(Routes[Direction],_xlfn.AGGREGATE(15,6,(ROW(Routes[Direction])-ROW(INDEX(Routes[Direction],1))+1)/(((Routes[Corridor]=TAT_Sel_Corridor)+(TAT_Sel_Corridor="All"))&gt;0),ROWS($B$3:B5))),"")</f>
        <v/>
      </c>
      <c r="C5" s="12" t="str">
        <f>TEXT(D5,"mmm yyyy")</f>
        <v>Oct 2026</v>
      </c>
      <c r="D5" s="12">
        <v>46296</v>
      </c>
      <c r="F5" s="12" t="s">
        <v>665</v>
      </c>
    </row>
    <row r="6" spans="1:12" x14ac:dyDescent="0.25">
      <c r="B6" s="12" t="str">
        <f>IFERROR(INDEX(Routes[Direction],_xlfn.AGGREGATE(15,6,(ROW(Routes[Direction])-ROW(INDEX(Routes[Direction],1))+1)/(((Routes[Corridor]=TAT_Sel_Corridor)+(TAT_Sel_Corridor="All"))&gt;0),ROWS($B$3:B6))),"")</f>
        <v/>
      </c>
    </row>
    <row r="7" spans="1:12" x14ac:dyDescent="0.25">
      <c r="B7" s="12" t="str">
        <f>IFERROR(INDEX(Routes[Direction],_xlfn.AGGREGATE(15,6,(ROW(Routes[Direction])-ROW(INDEX(Routes[Direction],1))+1)/(((Routes[Corridor]=TAT_Sel_Corridor)+(TAT_Sel_Corridor="All"))&gt;0),ROWS($B$3:B7))),"")</f>
        <v/>
      </c>
    </row>
    <row r="8" spans="1:12" x14ac:dyDescent="0.25">
      <c r="B8" s="12" t="str">
        <f>IFERROR(INDEX(Routes[Direction],_xlfn.AGGREGATE(15,6,(ROW(Routes[Direction])-ROW(INDEX(Routes[Direction],1))+1)/(((Routes[Corridor]=TAT_Sel_Corridor)+(TAT_Sel_Corridor="All"))&gt;0),ROWS($B$3:B8))),"")</f>
        <v/>
      </c>
    </row>
    <row r="20" spans="11:13" x14ac:dyDescent="0.25">
      <c r="K20" s="12" t="s">
        <v>666</v>
      </c>
      <c r="L20" s="12" t="s">
        <v>300</v>
      </c>
      <c r="M20" s="12" t="s">
        <v>457</v>
      </c>
    </row>
    <row r="21" spans="11:13" x14ac:dyDescent="0.25">
      <c r="K21" s="12" t="s">
        <v>667</v>
      </c>
      <c r="L21" s="12">
        <f>COUNTIFS(Trips[Bus Type],"EV",Trips[Flag all],1)</f>
        <v>7</v>
      </c>
      <c r="M21" s="12">
        <f>COUNTIFS(Trips[Bus Type],"Diesel",Trips[Flag all],1)</f>
        <v>7</v>
      </c>
    </row>
    <row r="22" spans="11:13" x14ac:dyDescent="0.25">
      <c r="K22" s="12" t="s">
        <v>415</v>
      </c>
      <c r="L22" s="12">
        <f>SUMIFS(Trips[Distance (km)],Trips[Bus Type],"EV",Trips[Flag all],1)</f>
        <v>2151.3211856308267</v>
      </c>
      <c r="M22" s="12">
        <f>SUMIFS(Trips[Distance (km)],Trips[Bus Type],"Diesel",Trips[Flag all],1)</f>
        <v>2164.4612405009334</v>
      </c>
    </row>
    <row r="23" spans="11:13" x14ac:dyDescent="0.25">
      <c r="K23" s="12" t="s">
        <v>440</v>
      </c>
      <c r="L23" s="12">
        <f>SUMIFS(Trips[Energy consumed (kWh)],Trips[Bus Type],"EV",Trips[Flag all],1)</f>
        <v>2001.7465171925887</v>
      </c>
      <c r="M23" s="12">
        <f>SUMIFS(Trips[Energy consumed (kWh)],Trips[Bus Type],"Diesel",Trips[Flag all],1)</f>
        <v>5352.0533041729941</v>
      </c>
    </row>
    <row r="24" spans="11:13" x14ac:dyDescent="0.25">
      <c r="K24" s="12" t="s">
        <v>441</v>
      </c>
      <c r="L24" s="12">
        <f>SUMIFS(Trips[Energy consumed (MJ)],Trips[Bus Type],"EV",Trips[Flag all],1)</f>
        <v>7206.2874618933201</v>
      </c>
      <c r="M24" s="12">
        <f>SUMIFS(Trips[Energy consumed (MJ)],Trips[Bus Type],"Diesel",Trips[Flag all],1)</f>
        <v>19267.391895022774</v>
      </c>
    </row>
    <row r="25" spans="11:13" x14ac:dyDescent="0.25">
      <c r="K25" s="12" t="s">
        <v>442</v>
      </c>
      <c r="L25" s="12">
        <f>SUMIFS(Trips[Diesel consumed (L)],Trips[Bus Type],"EV",Trips[Flag all],1)</f>
        <v>0</v>
      </c>
      <c r="M25" s="12">
        <f>SUMIFS(Trips[Diesel consumed (L)],Trips[Bus Type],"Diesel",Trips[Flag all],1)</f>
        <v>536.69615306470132</v>
      </c>
    </row>
    <row r="26" spans="11:13" x14ac:dyDescent="0.25">
      <c r="K26" s="12" t="s">
        <v>443</v>
      </c>
      <c r="L26" s="12">
        <f>SUMIFS(Trips[EV grid energy (kWh)],Trips[Bus Type],"EV",Trips[Flag all],1)</f>
        <v>2175.8114317310747</v>
      </c>
      <c r="M26" s="12">
        <f>SUMIFS(Trips[EV grid energy (kWh)],Trips[Bus Type],"Diesel",Trips[Flag all],1)</f>
        <v>0</v>
      </c>
    </row>
    <row r="27" spans="11:13" x14ac:dyDescent="0.25">
      <c r="K27" s="12" t="s">
        <v>432</v>
      </c>
      <c r="L27" s="12">
        <f>SUMIFS(Trips[Wheel energy (kWh)],Trips[Bus Type],"EV",Trips[Flag all],1)</f>
        <v>1550.9517591116439</v>
      </c>
      <c r="M27" s="12">
        <f>SUMIFS(Trips[Wheel energy (kWh)],Trips[Bus Type],"Diesel",Trips[Flag all],1)</f>
        <v>1444.3300818832104</v>
      </c>
    </row>
    <row r="28" spans="11:13" x14ac:dyDescent="0.25">
      <c r="K28" s="12" t="s">
        <v>448</v>
      </c>
      <c r="L28" s="12">
        <f>SUMIFS(Trips[Energy cost (INR)],Trips[Bus Type],"EV",Trips[Flag all],1)</f>
        <v>20670.208601445207</v>
      </c>
      <c r="M28" s="12">
        <f>SUMIFS(Trips[Energy cost (INR)],Trips[Bus Type],"Diesel",Trips[Flag all],1)</f>
        <v>49376.046081952525</v>
      </c>
    </row>
    <row r="29" spans="11:13" x14ac:dyDescent="0.25">
      <c r="K29" s="12" t="s">
        <v>449</v>
      </c>
      <c r="L29" s="12">
        <f>SUMIFS(Trips[CO2 (kg)],Trips[Bus Type],"EV",Trips[Flag all],1)</f>
        <v>1544.8261165290628</v>
      </c>
      <c r="M29" s="12">
        <f>SUMIFS(Trips[CO2 (kg)],Trips[Bus Type],"Diesel",Trips[Flag all],1)</f>
        <v>1438.3456902133998</v>
      </c>
    </row>
    <row r="30" spans="11:13" x14ac:dyDescent="0.25">
      <c r="K30" s="12" t="s">
        <v>417</v>
      </c>
      <c r="L30" s="12">
        <f>SUMIFS(Trips[Operating time (h)],Trips[Bus Type],"EV",Trips[Flag all],1)</f>
        <v>37.867767222222227</v>
      </c>
      <c r="M30" s="12">
        <f>SUMIFS(Trips[Operating time (h)],Trips[Bus Type],"Diesel",Trips[Flag all],1)</f>
        <v>37.211616666666664</v>
      </c>
    </row>
    <row r="31" spans="11:13" x14ac:dyDescent="0.25">
      <c r="K31" s="12" t="s">
        <v>386</v>
      </c>
      <c r="L31" s="12">
        <f>SUMIFS(Trips[t Charging (min)],Trips[Bus Type],"EV",Trips[Flag all],1)</f>
        <v>206.41666666666666</v>
      </c>
      <c r="M31" s="12">
        <f>SUMIFS(Trips[t Charging (min)],Trips[Bus Type],"Diesel",Trips[Flag all],1)</f>
        <v>0</v>
      </c>
    </row>
    <row r="32" spans="11:13" x14ac:dyDescent="0.25">
      <c r="K32" s="12" t="s">
        <v>416</v>
      </c>
      <c r="L32" s="12">
        <f>SUMIFS(Trips[Trip time incl charging (h)],Trips[Bus Type],"EV",Trips[Flag all],1)</f>
        <v>41.308045</v>
      </c>
      <c r="M32" s="12">
        <f>SUMIFS(Trips[Trip time incl charging (h)],Trips[Bus Type],"Diesel",Trips[Flag all],1)</f>
        <v>37.211616666666664</v>
      </c>
    </row>
    <row r="33" spans="11:13" x14ac:dyDescent="0.25">
      <c r="K33" s="12" t="s">
        <v>668</v>
      </c>
      <c r="L33" s="12">
        <f>IFERROR(L23/L22,"")</f>
        <v>0.9304731113897442</v>
      </c>
      <c r="M33" s="12">
        <f>IFERROR(M23/M22,"")</f>
        <v>2.4726953775038902</v>
      </c>
    </row>
    <row r="34" spans="11:13" x14ac:dyDescent="0.25">
      <c r="K34" s="12" t="s">
        <v>669</v>
      </c>
      <c r="L34" s="12">
        <f>IFERROR(L22/L23,"")</f>
        <v>1.0747220825182269</v>
      </c>
      <c r="M34" s="12">
        <f>IFERROR(M22/M23,"")</f>
        <v>0.40441698120108477</v>
      </c>
    </row>
    <row r="35" spans="11:13" x14ac:dyDescent="0.25">
      <c r="K35" s="12" t="s">
        <v>670</v>
      </c>
      <c r="L35" s="12" t="str">
        <f>""</f>
        <v/>
      </c>
      <c r="M35" s="12">
        <f>IFERROR(M22/M25,"")</f>
        <v>4.0329360069774847</v>
      </c>
    </row>
    <row r="36" spans="11:13" x14ac:dyDescent="0.25">
      <c r="K36" s="12" t="s">
        <v>671</v>
      </c>
      <c r="L36" s="12">
        <f>IFERROR(L27/L23,"")</f>
        <v>0.77479927942466165</v>
      </c>
      <c r="M36" s="12">
        <f>IFERROR(M27/M23,"")</f>
        <v>0.26986466684796778</v>
      </c>
    </row>
    <row r="37" spans="11:13" x14ac:dyDescent="0.25">
      <c r="K37" s="12" t="s">
        <v>672</v>
      </c>
      <c r="L37" s="12">
        <f>IFERROR(L28/L22,"")</f>
        <v>9.608146258915836</v>
      </c>
      <c r="M37" s="12">
        <f>IFERROR(M28/M22,"")</f>
        <v>22.812164596916112</v>
      </c>
    </row>
    <row r="38" spans="11:13" x14ac:dyDescent="0.25">
      <c r="K38" s="12" t="s">
        <v>673</v>
      </c>
      <c r="L38" s="12">
        <f>IFERROR(L29/L22,"")</f>
        <v>0.71808250987686773</v>
      </c>
      <c r="M38" s="12">
        <f>IFERROR(M29/M22,"")</f>
        <v>0.66452827304059991</v>
      </c>
    </row>
    <row r="39" spans="11:13" x14ac:dyDescent="0.25">
      <c r="K39" s="12" t="s">
        <v>674</v>
      </c>
      <c r="L39" s="12">
        <f>IFERROR(L31/L21,"")</f>
        <v>29.488095238095237</v>
      </c>
      <c r="M39" s="12">
        <f>IFERROR(M31/M21,"")</f>
        <v>0</v>
      </c>
    </row>
    <row r="40" spans="11:13" x14ac:dyDescent="0.25">
      <c r="K40" s="12" t="s">
        <v>675</v>
      </c>
      <c r="L40" s="12">
        <f>IFERROR(L32/L21,"")</f>
        <v>5.9011492857142853</v>
      </c>
      <c r="M40" s="12">
        <f>IFERROR(M32/M21,"")</f>
        <v>5.3159452380952379</v>
      </c>
    </row>
    <row r="41" spans="11:13" x14ac:dyDescent="0.25">
      <c r="K41" s="12" t="s">
        <v>676</v>
      </c>
      <c r="L41" s="12">
        <f>IFERROR(L23/L21,"")</f>
        <v>285.96378817036981</v>
      </c>
      <c r="M41" s="12">
        <f>IFERROR(M23/M21,"")</f>
        <v>764.57904345328484</v>
      </c>
    </row>
    <row r="42" spans="11:13" x14ac:dyDescent="0.25">
      <c r="K42" s="12" t="s">
        <v>677</v>
      </c>
      <c r="L42" s="12">
        <f>IFERROR(L22/L30,"")</f>
        <v>56.811408314783101</v>
      </c>
      <c r="M42" s="12">
        <f>IFERROR(M22/M30,"")</f>
        <v>58.166278017149665</v>
      </c>
    </row>
    <row r="43" spans="11:13" x14ac:dyDescent="0.25">
      <c r="K43" s="12" t="s">
        <v>678</v>
      </c>
      <c r="L43" s="12">
        <f>IFERROR(1-L33/M33,"")</f>
        <v>0.62370087320297896</v>
      </c>
    </row>
    <row r="44" spans="11:13" x14ac:dyDescent="0.25">
      <c r="K44" s="12" t="s">
        <v>679</v>
      </c>
      <c r="L44" s="12">
        <f>IFERROR(1-L37/M37,"")</f>
        <v>0.57881479339252517</v>
      </c>
    </row>
    <row r="45" spans="11:13" x14ac:dyDescent="0.25">
      <c r="K45" s="12" t="s">
        <v>680</v>
      </c>
      <c r="L45" s="12">
        <f>IFERROR(1-L38/M38,"")</f>
        <v>-8.0589854501188274E-2</v>
      </c>
    </row>
    <row r="46" spans="11:13" x14ac:dyDescent="0.25">
      <c r="K46" s="12" t="s">
        <v>681</v>
      </c>
      <c r="L46" s="12">
        <f>IFERROR(L34/M34,"")</f>
        <v>2.6574603255441742</v>
      </c>
    </row>
    <row r="47" spans="11:13" x14ac:dyDescent="0.25">
      <c r="K47" s="12" t="s">
        <v>682</v>
      </c>
      <c r="L47" s="12">
        <f>IF(AND(L21&gt;0,M21&gt;0),(L40-M40)*60,"")</f>
        <v>35.112242857142846</v>
      </c>
    </row>
    <row r="48" spans="11:13" x14ac:dyDescent="0.25">
      <c r="K48" s="12" t="s">
        <v>683</v>
      </c>
      <c r="L48" s="12">
        <f>COUNTIFS(Trips[Bus Type],"EV",Trips[Measured energy (kWh eq)],"&gt;0")</f>
        <v>0</v>
      </c>
      <c r="M48" s="12">
        <f>COUNTIFS(Trips[Bus Type],"Diesel",Trips[Measured energy (kWh eq)],"&gt;0")</f>
        <v>0</v>
      </c>
    </row>
    <row r="50" spans="11:31" x14ac:dyDescent="0.25">
      <c r="X50" s="12" t="s">
        <v>292</v>
      </c>
      <c r="Y50" s="12" t="s">
        <v>684</v>
      </c>
      <c r="Z50" s="12" t="s">
        <v>685</v>
      </c>
      <c r="AA50" s="12" t="s">
        <v>686</v>
      </c>
      <c r="AB50" s="12" t="s">
        <v>687</v>
      </c>
      <c r="AC50" s="12" t="s">
        <v>688</v>
      </c>
      <c r="AD50" s="12" t="s">
        <v>689</v>
      </c>
    </row>
    <row r="51" spans="11:31" x14ac:dyDescent="0.25">
      <c r="K51" s="12" t="s">
        <v>684</v>
      </c>
      <c r="L51" s="12">
        <f>IFERROR(1*SUMIFS(Trips[Road-load net (kWh)],Trips[Bus Type],"EV",Trips[Flag all],1)*IF(TAT_Cal_Apply="Yes",TAT_CF_EV,1)/TAT_EtaPT_EV/L$22,0)</f>
        <v>0.64883535280363847</v>
      </c>
      <c r="M51" s="12">
        <f>IFERROR(1*SUMIFS(Trips[Road-load net (kWh)],Trips[Bus Type],"Diesel",Trips[Flag all],1)*IF(TAT_Cal_Apply="Yes",TAT_CF_D,1)/TAT_EtaPT_D/M$22,0)</f>
        <v>1.5217788930643132</v>
      </c>
      <c r="X51" s="12" t="s">
        <v>300</v>
      </c>
      <c r="Y51" s="12">
        <f>L51</f>
        <v>0.64883535280363847</v>
      </c>
      <c r="Z51" s="12">
        <f>L52</f>
        <v>0.2315868127855808</v>
      </c>
      <c r="AA51" s="12">
        <f>L53</f>
        <v>-1.1151174778588303E-2</v>
      </c>
      <c r="AB51" s="12">
        <f>L54</f>
        <v>0.1425769971256331</v>
      </c>
      <c r="AC51" s="12">
        <f>L55</f>
        <v>0</v>
      </c>
      <c r="AD51" s="12">
        <f>L56</f>
        <v>-8.1374876546519953E-2</v>
      </c>
    </row>
    <row r="52" spans="11:31" x14ac:dyDescent="0.25">
      <c r="K52" s="12" t="s">
        <v>685</v>
      </c>
      <c r="L52" s="12">
        <f>IFERROR(1*SUMIFS(Trips[Inertial energy (kWh)],Trips[Bus Type],"EV",Trips[Flag all],1)*IF(TAT_Cal_Apply="Yes",TAT_CF_EV,1)/TAT_EtaPT_EV/L$22,0)</f>
        <v>0.2315868127855808</v>
      </c>
      <c r="M52" s="12">
        <f>IFERROR(1*SUMIFS(Trips[Inertial energy (kWh)],Trips[Bus Type],"Diesel",Trips[Flag all],1)*IF(TAT_Cal_Apply="Yes",TAT_CF_D,1)/TAT_EtaPT_D/M$22,0)</f>
        <v>0.57564658809058089</v>
      </c>
      <c r="X52" s="12" t="s">
        <v>457</v>
      </c>
      <c r="Y52" s="12">
        <f>M51</f>
        <v>1.5217788930643132</v>
      </c>
      <c r="Z52" s="12">
        <f>M52</f>
        <v>0.57564658809058089</v>
      </c>
      <c r="AA52" s="12">
        <f>M53</f>
        <v>-2.508661697291515E-2</v>
      </c>
      <c r="AB52" s="12">
        <f>M54</f>
        <v>0.36573812036988723</v>
      </c>
      <c r="AC52" s="12">
        <f>M55</f>
        <v>3.4618392952023895E-2</v>
      </c>
      <c r="AD52" s="12">
        <f>M56</f>
        <v>0</v>
      </c>
    </row>
    <row r="53" spans="11:31" x14ac:dyDescent="0.25">
      <c r="K53" s="12" t="s">
        <v>686</v>
      </c>
      <c r="L53" s="12">
        <f>IFERROR(1*SUMIFS(Trips[Gradient wheel (kWh)],Trips[Bus Type],"EV",Trips[Flag all],1)*IF(TAT_Cal_Apply="Yes",TAT_CF_EV,1)/TAT_EtaPT_EV/L$22,0)</f>
        <v>-1.1151174778588303E-2</v>
      </c>
      <c r="M53" s="12">
        <f>IFERROR(1*SUMIFS(Trips[Gradient wheel (kWh)],Trips[Bus Type],"Diesel",Trips[Flag all],1)*IF(TAT_Cal_Apply="Yes",TAT_CF_D,1)/TAT_EtaPT_D/M$22,0)</f>
        <v>-2.508661697291515E-2</v>
      </c>
    </row>
    <row r="54" spans="11:31" x14ac:dyDescent="0.25">
      <c r="K54" s="12" t="s">
        <v>687</v>
      </c>
      <c r="L54" s="12">
        <f>IFERROR(1*SUMIFS(Trips[Auxiliary energy (kWh)],Trips[Bus Type],"EV",Trips[Flag all],1)*IF(TAT_Cal_Apply="Yes",TAT_CF_EV,1)/L$22,0)</f>
        <v>0.1425769971256331</v>
      </c>
      <c r="M54" s="12">
        <f>IFERROR(1*SUMIFS(Trips[Auxiliary energy (kWh)],Trips[Bus Type],"Diesel",Trips[Flag all],1)*IF(TAT_Cal_Apply="Yes",TAT_CF_D,1)/M$22,0)</f>
        <v>0.36573812036988723</v>
      </c>
    </row>
    <row r="55" spans="11:31" x14ac:dyDescent="0.25">
      <c r="K55" s="12" t="s">
        <v>688</v>
      </c>
      <c r="L55" s="12">
        <f>IFERROR(1*SUMIFS(Trips[Idle fuel energy (kWh)],Trips[Bus Type],"EV",Trips[Flag all],1)*IF(TAT_Cal_Apply="Yes",TAT_CF_EV,1)/L$22,0)</f>
        <v>0</v>
      </c>
      <c r="M55" s="12">
        <f>IFERROR(1*SUMIFS(Trips[Idle fuel energy (kWh)],Trips[Bus Type],"Diesel",Trips[Flag all],1)*IF(TAT_Cal_Apply="Yes",TAT_CF_D,1)/M$22,0)</f>
        <v>3.4618392952023895E-2</v>
      </c>
    </row>
    <row r="56" spans="11:31" x14ac:dyDescent="0.25">
      <c r="K56" s="12" t="s">
        <v>689</v>
      </c>
      <c r="L56" s="12">
        <f>IFERROR(-1*SUMIFS(Trips[Regen recovered (kWh)],Trips[Bus Type],"EV",Trips[Flag all],1)*IF(TAT_Cal_Apply="Yes",TAT_CF_EV,1)/L$22,0)</f>
        <v>-8.1374876546519953E-2</v>
      </c>
      <c r="M56" s="12">
        <f>IFERROR(-1*SUMIFS(Trips[Regen recovered (kWh)],Trips[Bus Type],"Diesel",Trips[Flag all],1)*IF(TAT_Cal_Apply="Yes",TAT_CF_D,1)/M$22,0)</f>
        <v>0</v>
      </c>
    </row>
    <row r="60" spans="11:31" x14ac:dyDescent="0.25">
      <c r="K60" s="12" t="s">
        <v>690</v>
      </c>
      <c r="L60" s="12">
        <f>IFERROR(SUMIFS(Trips[t Charging (min)],Trips[Bus Type],"EV",Trips[Flag all],1)/L$21,0)</f>
        <v>29.488095238095237</v>
      </c>
      <c r="M60" s="12">
        <f>IFERROR(SUMIFS(Trips[t Charging (min)],Trips[Bus Type],"Diesel",Trips[Flag all],1)/M$21,0)</f>
        <v>0</v>
      </c>
      <c r="X60" s="12" t="s">
        <v>292</v>
      </c>
      <c r="Y60" s="12" t="s">
        <v>690</v>
      </c>
      <c r="Z60" s="12" t="s">
        <v>691</v>
      </c>
      <c r="AA60" s="12" t="s">
        <v>692</v>
      </c>
      <c r="AB60" s="12" t="s">
        <v>693</v>
      </c>
      <c r="AC60" s="12" t="s">
        <v>685</v>
      </c>
      <c r="AD60" s="12" t="s">
        <v>694</v>
      </c>
      <c r="AE60" s="12" t="s">
        <v>695</v>
      </c>
    </row>
    <row r="61" spans="11:31" x14ac:dyDescent="0.25">
      <c r="K61" s="12" t="s">
        <v>691</v>
      </c>
      <c r="L61" s="12">
        <f>IFERROR(SUMIFS(Trips[t Stop (min)],Trips[Bus Type],"EV",Trips[Flag all],1)/L$21,0)</f>
        <v>26.230476190476189</v>
      </c>
      <c r="M61" s="12">
        <f>IFERROR(SUMIFS(Trips[t Stop (min)],Trips[Bus Type],"Diesel",Trips[Flag all],1)/M$21,0)</f>
        <v>22.49523809523809</v>
      </c>
      <c r="X61" s="12" t="s">
        <v>300</v>
      </c>
      <c r="Y61" s="12">
        <f>L60</f>
        <v>29.488095238095237</v>
      </c>
      <c r="Z61" s="12">
        <f>L61</f>
        <v>26.230476190476189</v>
      </c>
      <c r="AA61" s="12">
        <f>L62</f>
        <v>11.097619047619048</v>
      </c>
      <c r="AB61" s="12">
        <f>L63</f>
        <v>5.5714285714285703</v>
      </c>
      <c r="AC61" s="12">
        <f>L64</f>
        <v>53.244376190476189</v>
      </c>
      <c r="AD61" s="12">
        <f>L65</f>
        <v>43.471559523809518</v>
      </c>
      <c r="AE61" s="12">
        <f>L66</f>
        <v>184.96540238095236</v>
      </c>
    </row>
    <row r="62" spans="11:31" x14ac:dyDescent="0.25">
      <c r="K62" s="12" t="s">
        <v>692</v>
      </c>
      <c r="L62" s="12">
        <f>IFERROR(SUMIFS(Trips[t Idle (min)],Trips[Bus Type],"EV",Trips[Flag all],1)/L$21,0)</f>
        <v>11.097619047619048</v>
      </c>
      <c r="M62" s="12">
        <f>IFERROR(SUMIFS(Trips[t Idle (min)],Trips[Bus Type],"Diesel",Trips[Flag all],1)/M$21,0)</f>
        <v>3.2666666666666666</v>
      </c>
      <c r="X62" s="12" t="s">
        <v>457</v>
      </c>
      <c r="Y62" s="12">
        <f>M60</f>
        <v>0</v>
      </c>
      <c r="Z62" s="12">
        <f>M61</f>
        <v>22.49523809523809</v>
      </c>
      <c r="AA62" s="12">
        <f>M62</f>
        <v>3.2666666666666666</v>
      </c>
      <c r="AB62" s="12">
        <f>M63</f>
        <v>3.833333333333333</v>
      </c>
      <c r="AC62" s="12">
        <f>M64</f>
        <v>59.675635714285718</v>
      </c>
      <c r="AD62" s="12">
        <f>M65</f>
        <v>44.607142857142854</v>
      </c>
      <c r="AE62" s="12">
        <f>M66</f>
        <v>185.07869761904766</v>
      </c>
    </row>
    <row r="63" spans="11:31" x14ac:dyDescent="0.25">
      <c r="K63" s="12" t="s">
        <v>693</v>
      </c>
      <c r="L63" s="12">
        <f>IFERROR(SUMIFS(Trips[t Inching (min)],Trips[Bus Type],"EV",Trips[Flag all],1)/L$21,0)</f>
        <v>5.5714285714285703</v>
      </c>
      <c r="M63" s="12">
        <f>IFERROR(SUMIFS(Trips[t Inching (min)],Trips[Bus Type],"Diesel",Trips[Flag all],1)/M$21,0)</f>
        <v>3.833333333333333</v>
      </c>
    </row>
    <row r="64" spans="11:31" x14ac:dyDescent="0.25">
      <c r="K64" s="12" t="s">
        <v>685</v>
      </c>
      <c r="L64" s="12">
        <f>IFERROR(SUMIFS(Trips[t Acc (min)],Trips[Bus Type],"EV",Trips[Flag all],1)/L$21,0)</f>
        <v>53.244376190476189</v>
      </c>
      <c r="M64" s="12">
        <f>IFERROR(SUMIFS(Trips[t Acc (min)],Trips[Bus Type],"Diesel",Trips[Flag all],1)/M$21,0)</f>
        <v>59.675635714285718</v>
      </c>
    </row>
    <row r="65" spans="11:26" x14ac:dyDescent="0.25">
      <c r="K65" s="12" t="s">
        <v>694</v>
      </c>
      <c r="L65" s="12">
        <f>IFERROR(SUMIFS(Trips[t Dec (min)],Trips[Bus Type],"EV",Trips[Flag all],1)/L$21,0)</f>
        <v>43.471559523809518</v>
      </c>
      <c r="M65" s="12">
        <f>IFERROR(SUMIFS(Trips[t Dec (min)],Trips[Bus Type],"Diesel",Trips[Flag all],1)/M$21,0)</f>
        <v>44.607142857142854</v>
      </c>
    </row>
    <row r="66" spans="11:26" x14ac:dyDescent="0.25">
      <c r="K66" s="12" t="s">
        <v>695</v>
      </c>
      <c r="L66" s="12">
        <f>IFERROR(SUMIFS(Trips[t Cruise (min)],Trips[Bus Type],"EV",Trips[Flag all],1)/L$21,0)</f>
        <v>184.96540238095236</v>
      </c>
      <c r="M66" s="12">
        <f>IFERROR(SUMIFS(Trips[t Cruise (min)],Trips[Bus Type],"Diesel",Trips[Flag all],1)/M$21,0)</f>
        <v>185.07869761904766</v>
      </c>
    </row>
    <row r="71" spans="11:26" x14ac:dyDescent="0.25">
      <c r="K71" s="12">
        <v>0.15</v>
      </c>
      <c r="L71" s="12">
        <f>IFERROR((L$23+($K71/TAT_Acc_EV-1)*SUMIFS(Trips[Inertial energy (kWh)],Trips[Bus Type],"EV",Trips[Flag all],1)*IF(TAT_Cal_Apply="Yes",TAT_CF_EV,1)*(1/TAT_EtaPT_EV-TAT_Regen_EV*TAT_EtaPT_EV))/L$22,NA())</f>
        <v>0.87606807531609254</v>
      </c>
      <c r="M71" s="12">
        <f>IFERROR((M$23+($K71/TAT_Acc_D-1)*SUMIFS(Trips[Inertial energy (kWh)],Trips[Bus Type],"Diesel",Trips[Flag all],1)*IF(TAT_Cal_Apply="Yes",TAT_CF_D,1)*(1/TAT_EtaPT_D))/M$22,NA())</f>
        <v>2.2424367422676577</v>
      </c>
      <c r="N71" s="12">
        <f t="shared" ref="N71:N76" si="0">IFERROR(1-L71/M71,NA())</f>
        <v>0.60932317117219048</v>
      </c>
      <c r="O71" s="12" t="str">
        <f t="shared" ref="O71:O76" si="1">TEXT(K71,"0.00")&amp;IF(ABS(K71-TAT_Acc_EV)&lt;0.001," *","")</f>
        <v>0.15</v>
      </c>
    </row>
    <row r="72" spans="11:26" x14ac:dyDescent="0.25">
      <c r="K72" s="12">
        <v>0.2</v>
      </c>
      <c r="L72" s="12">
        <f>IFERROR((L$23+($K72/TAT_Acc_EV-1)*SUMIFS(Trips[Inertial energy (kWh)],Trips[Bus Type],"EV",Trips[Flag all],1)*IF(TAT_Cal_Apply="Yes",TAT_CF_EV,1)*(1/TAT_EtaPT_EV-TAT_Regen_EV*TAT_EtaPT_EV))/L$22,NA())</f>
        <v>0.90327059335291826</v>
      </c>
      <c r="M72" s="12">
        <f>IFERROR((M$23+($K72/TAT_Acc_D-1)*SUMIFS(Trips[Inertial energy (kWh)],Trips[Bus Type],"Diesel",Trips[Flag all],1)*IF(TAT_Cal_Apply="Yes",TAT_CF_D,1)*(1/TAT_EtaPT_D))/M$22,NA())</f>
        <v>2.3575660598857739</v>
      </c>
      <c r="N72" s="12">
        <f t="shared" si="0"/>
        <v>0.61686308234489839</v>
      </c>
      <c r="O72" s="12" t="str">
        <f t="shared" si="1"/>
        <v>0.20</v>
      </c>
    </row>
    <row r="73" spans="11:26" x14ac:dyDescent="0.25">
      <c r="K73" s="12">
        <v>0.25</v>
      </c>
      <c r="L73" s="12">
        <f>IFERROR((L$23+($K73/TAT_Acc_EV-1)*SUMIFS(Trips[Inertial energy (kWh)],Trips[Bus Type],"EV",Trips[Flag all],1)*IF(TAT_Cal_Apply="Yes",TAT_CF_EV,1)*(1/TAT_EtaPT_EV-TAT_Regen_EV*TAT_EtaPT_EV))/L$22,NA())</f>
        <v>0.9304731113897442</v>
      </c>
      <c r="M73" s="12">
        <f>IFERROR((M$23+($K73/TAT_Acc_D-1)*SUMIFS(Trips[Inertial energy (kWh)],Trips[Bus Type],"Diesel",Trips[Flag all],1)*IF(TAT_Cal_Apply="Yes",TAT_CF_D,1)*(1/TAT_EtaPT_D))/M$22,NA())</f>
        <v>2.4726953775038902</v>
      </c>
      <c r="N73" s="12">
        <f t="shared" si="0"/>
        <v>0.62370087320297896</v>
      </c>
      <c r="O73" s="12" t="str">
        <f t="shared" si="1"/>
        <v>0.25 *</v>
      </c>
    </row>
    <row r="74" spans="11:26" x14ac:dyDescent="0.25">
      <c r="K74" s="12">
        <v>0.3</v>
      </c>
      <c r="L74" s="12">
        <f>IFERROR((L$23+($K74/TAT_Acc_EV-1)*SUMIFS(Trips[Inertial energy (kWh)],Trips[Bus Type],"EV",Trips[Flag all],1)*IF(TAT_Cal_Apply="Yes",TAT_CF_EV,1)*(1/TAT_EtaPT_EV-TAT_Regen_EV*TAT_EtaPT_EV))/L$22,NA())</f>
        <v>0.95767562942657003</v>
      </c>
      <c r="M74" s="12">
        <f>IFERROR((M$23+($K74/TAT_Acc_D-1)*SUMIFS(Trips[Inertial energy (kWh)],Trips[Bus Type],"Diesel",Trips[Flag all],1)*IF(TAT_Cal_Apply="Yes",TAT_CF_D,1)*(1/TAT_EtaPT_D))/M$22,NA())</f>
        <v>2.5878246951220065</v>
      </c>
      <c r="N74" s="12">
        <f t="shared" si="0"/>
        <v>0.62993025330047747</v>
      </c>
      <c r="O74" s="12" t="str">
        <f t="shared" si="1"/>
        <v>0.30</v>
      </c>
    </row>
    <row r="75" spans="11:26" x14ac:dyDescent="0.25">
      <c r="K75" s="12">
        <v>0.35</v>
      </c>
      <c r="L75" s="12">
        <f>IFERROR((L$23+($K75/TAT_Acc_EV-1)*SUMIFS(Trips[Inertial energy (kWh)],Trips[Bus Type],"EV",Trips[Flag all],1)*IF(TAT_Cal_Apply="Yes",TAT_CF_EV,1)*(1/TAT_EtaPT_EV-TAT_Regen_EV*TAT_EtaPT_EV))/L$22,NA())</f>
        <v>0.98487814746339597</v>
      </c>
      <c r="M75" s="12">
        <f>IFERROR((M$23+($K75/TAT_Acc_D-1)*SUMIFS(Trips[Inertial energy (kWh)],Trips[Bus Type],"Diesel",Trips[Flag all],1)*IF(TAT_Cal_Apply="Yes",TAT_CF_D,1)*(1/TAT_EtaPT_D))/M$22,NA())</f>
        <v>2.7029540127401228</v>
      </c>
      <c r="N75" s="12">
        <f t="shared" si="0"/>
        <v>0.63562896637483868</v>
      </c>
      <c r="O75" s="12" t="str">
        <f t="shared" si="1"/>
        <v>0.35</v>
      </c>
    </row>
    <row r="76" spans="11:26" x14ac:dyDescent="0.25">
      <c r="K76" s="12">
        <v>0.4</v>
      </c>
      <c r="L76" s="12">
        <f>IFERROR((L$23+($K76/TAT_Acc_EV-1)*SUMIFS(Trips[Inertial energy (kWh)],Trips[Bus Type],"EV",Trips[Flag all],1)*IF(TAT_Cal_Apply="Yes",TAT_CF_EV,1)*(1/TAT_EtaPT_EV-TAT_Regen_EV*TAT_EtaPT_EV))/L$22,NA())</f>
        <v>1.0120806655002217</v>
      </c>
      <c r="M76" s="12">
        <f>IFERROR((M$23+($K76/TAT_Acc_D-1)*SUMIFS(Trips[Inertial energy (kWh)],Trips[Bus Type],"Diesel",Trips[Flag all],1)*IF(TAT_Cal_Apply="Yes",TAT_CF_D,1)*(1/TAT_EtaPT_D))/M$22,NA())</f>
        <v>2.8180833303582387</v>
      </c>
      <c r="N76" s="12">
        <f t="shared" si="0"/>
        <v>0.64086205166560328</v>
      </c>
      <c r="O76" s="12" t="str">
        <f t="shared" si="1"/>
        <v>0.40</v>
      </c>
    </row>
    <row r="78" spans="11:26" x14ac:dyDescent="0.25">
      <c r="X78" s="12" t="s">
        <v>696</v>
      </c>
      <c r="Y78" s="12" t="s">
        <v>697</v>
      </c>
      <c r="Z78" s="12" t="s">
        <v>698</v>
      </c>
    </row>
    <row r="79" spans="11:26" x14ac:dyDescent="0.25">
      <c r="X79" s="12" t="s">
        <v>300</v>
      </c>
      <c r="Y79" s="12">
        <f>L60</f>
        <v>29.488095238095237</v>
      </c>
      <c r="Z79" s="12">
        <f>MAX(0,IFERROR(L40*60,0)-L60)</f>
        <v>324.58086190476189</v>
      </c>
    </row>
    <row r="83" spans="11:18" x14ac:dyDescent="0.25">
      <c r="K83" s="12" t="s">
        <v>29</v>
      </c>
      <c r="L83" s="12">
        <f>SUMIFS(Trips[Distance (km)],Trips[Bus Type],"EV",Trips[Flag period],1,Trips[Corridor],K83)</f>
        <v>4588.5673742194549</v>
      </c>
      <c r="M83" s="12">
        <f>SUMIFS(Trips[Energy consumed (kWh)],Trips[Bus Type],"EV",Trips[Flag period],1,Trips[Corridor],K83)</f>
        <v>4328.0836239492101</v>
      </c>
      <c r="N83" s="12">
        <f>SUMIFS(Trips[Distance (km)],Trips[Bus Type],"Diesel",Trips[Flag period],1,Trips[Corridor],K83)</f>
        <v>4588.9258128071278</v>
      </c>
      <c r="O83" s="12">
        <f>SUMIFS(Trips[Energy consumed (kWh)],Trips[Bus Type],"Diesel",Trips[Flag period],1,Trips[Corridor],K83)</f>
        <v>10809.94942663312</v>
      </c>
      <c r="P83" s="12">
        <f>IFERROR(M83/L83,NA())</f>
        <v>0.94323200924677397</v>
      </c>
      <c r="Q83" s="12">
        <f>IFERROR(O83/N83,NA())</f>
        <v>2.3556600972854866</v>
      </c>
      <c r="R83" s="12">
        <f>IFERROR(1-P83/Q83,NA())</f>
        <v>0.59958908743511219</v>
      </c>
    </row>
    <row r="84" spans="11:18" x14ac:dyDescent="0.25">
      <c r="K84" s="12" t="s">
        <v>531</v>
      </c>
      <c r="L84" s="12">
        <f>SUMIFS(Trips[Distance (km)],Trips[Bus Type],"EV",Trips[Flag period],1,Trips[Corridor],K84)</f>
        <v>4870.1993467301845</v>
      </c>
      <c r="M84" s="12">
        <f>SUMIFS(Trips[Energy consumed (kWh)],Trips[Bus Type],"EV",Trips[Flag period],1,Trips[Corridor],K84)</f>
        <v>4765.9056592480629</v>
      </c>
      <c r="N84" s="12">
        <f>SUMIFS(Trips[Distance (km)],Trips[Bus Type],"Diesel",Trips[Flag period],1,Trips[Corridor],K84)</f>
        <v>4870.0637812498544</v>
      </c>
      <c r="O84" s="12">
        <f>SUMIFS(Trips[Energy consumed (kWh)],Trips[Bus Type],"Diesel",Trips[Flag period],1,Trips[Corridor],K84)</f>
        <v>11893.667375973655</v>
      </c>
      <c r="P84" s="12">
        <f>IFERROR(M84/L84,NA())</f>
        <v>0.97858533500232514</v>
      </c>
      <c r="Q84" s="12">
        <f>IFERROR(O84/N84,NA())</f>
        <v>2.4421995091245523</v>
      </c>
      <c r="R84" s="12">
        <f>IFERROR(1-P84/Q84,NA())</f>
        <v>0.59930164126799146</v>
      </c>
    </row>
    <row r="85" spans="11:18" x14ac:dyDescent="0.25">
      <c r="K85" s="12" t="s">
        <v>35</v>
      </c>
      <c r="L85" s="12">
        <f>SUMIFS(Trips[Distance (km)],Trips[Bus Type],"EV",Trips[Flag period],1,Trips[Corridor],K85)</f>
        <v>2151.3211856308267</v>
      </c>
      <c r="M85" s="12">
        <f>SUMIFS(Trips[Energy consumed (kWh)],Trips[Bus Type],"EV",Trips[Flag period],1,Trips[Corridor],K85)</f>
        <v>2001.7465171925887</v>
      </c>
      <c r="N85" s="12">
        <f>SUMIFS(Trips[Distance (km)],Trips[Bus Type],"Diesel",Trips[Flag period],1,Trips[Corridor],K85)</f>
        <v>2164.4612405009334</v>
      </c>
      <c r="O85" s="12">
        <f>SUMIFS(Trips[Energy consumed (kWh)],Trips[Bus Type],"Diesel",Trips[Flag period],1,Trips[Corridor],K85)</f>
        <v>5352.0533041729941</v>
      </c>
      <c r="P85" s="12">
        <f>IFERROR(M85/L85,NA())</f>
        <v>0.9304731113897442</v>
      </c>
      <c r="Q85" s="12">
        <f>IFERROR(O85/N85,NA())</f>
        <v>2.4726953775038902</v>
      </c>
      <c r="R85" s="12">
        <f>IFERROR(1-P85/Q85,NA())</f>
        <v>0.62370087320297896</v>
      </c>
    </row>
    <row r="102" spans="11:21" x14ac:dyDescent="0.25">
      <c r="K102" s="17">
        <v>46204</v>
      </c>
      <c r="L102" s="12">
        <f>SUMIFS(Trips[Distance (km)],Trips[Bus Type],"EV",Trips[Flag route],1,Trips[Month],K102)</f>
        <v>1575.7362245947315</v>
      </c>
      <c r="M102" s="12">
        <f>SUMIFS(Trips[Energy consumed (kWh)],Trips[Bus Type],"EV",Trips[Flag route],1,Trips[Month],K102)</f>
        <v>1472.9527826158499</v>
      </c>
      <c r="N102" s="12">
        <f>SUMIFS(Trips[Energy cost (INR)],Trips[Bus Type],"EV",Trips[Flag route],1,Trips[Month],K102)</f>
        <v>15209.838516141926</v>
      </c>
      <c r="O102" s="12">
        <f>SUMIFS(Trips[CO2 (kg)],Trips[Bus Type],"EV",Trips[Flag route],1,Trips[Month],K102)</f>
        <v>1136.7352996274492</v>
      </c>
      <c r="P102" s="12">
        <f>SUMIFS(Trips[Distance (km)],Trips[Bus Type],"Diesel",Trips[Flag route],1,Trips[Month],K102)</f>
        <v>1288.4077309473348</v>
      </c>
      <c r="Q102" s="12">
        <f>SUMIFS(Trips[Energy consumed (kWh)],Trips[Bus Type],"Diesel",Trips[Flag route],1,Trips[Month],K102)</f>
        <v>3249.9958844475723</v>
      </c>
      <c r="R102" s="12">
        <f>SUMIFS(Trips[Energy cost (INR)],Trips[Bus Type],"Diesel",Trips[Flag route],1,Trips[Month],K102)</f>
        <v>29983.248939527468</v>
      </c>
      <c r="S102" s="12">
        <f>SUMIFS(Trips[CO2 (kg)],Trips[Bus Type],"Diesel",Trips[Flag route],1,Trips[Month],K102)</f>
        <v>873.42507780362621</v>
      </c>
      <c r="T102" s="12">
        <f>IFERROR(CHOOSE($L$3,M102/L102,L102/M102,N102/L102,O102/L102),NA())</f>
        <v>0.93477116260031601</v>
      </c>
      <c r="U102" s="12">
        <f>IFERROR(CHOOSE($L$3,Q102/P102,P102/Q102,R102/P102,S102/P102),NA())</f>
        <v>2.522490207395705</v>
      </c>
    </row>
    <row r="103" spans="11:21" x14ac:dyDescent="0.25">
      <c r="K103" s="17">
        <v>46266</v>
      </c>
      <c r="L103" s="12">
        <f>SUMIFS(Trips[Distance (km)],Trips[Bus Type],"EV",Trips[Flag route],1,Trips[Month],K103)</f>
        <v>575.58496103609514</v>
      </c>
      <c r="M103" s="12">
        <f>SUMIFS(Trips[Energy consumed (kWh)],Trips[Bus Type],"EV",Trips[Flag route],1,Trips[Month],K103)</f>
        <v>528.79373457673887</v>
      </c>
      <c r="N103" s="12">
        <f>SUMIFS(Trips[Energy cost (INR)],Trips[Bus Type],"EV",Trips[Flag route],1,Trips[Month],K103)</f>
        <v>5460.3700853032815</v>
      </c>
      <c r="O103" s="12">
        <f>SUMIFS(Trips[CO2 (kg)],Trips[Bus Type],"EV",Trips[Flag route],1,Trips[Month],K103)</f>
        <v>408.09081690161361</v>
      </c>
      <c r="P103" s="12">
        <f>SUMIFS(Trips[Distance (km)],Trips[Bus Type],"Diesel",Trips[Flag route],1,Trips[Month],K103)</f>
        <v>876.0535095535987</v>
      </c>
      <c r="Q103" s="12">
        <f>SUMIFS(Trips[Energy consumed (kWh)],Trips[Bus Type],"Diesel",Trips[Flag route],1,Trips[Month],K103)</f>
        <v>2102.0574197254218</v>
      </c>
      <c r="R103" s="12">
        <f>SUMIFS(Trips[Energy cost (INR)],Trips[Bus Type],"Diesel",Trips[Flag route],1,Trips[Month],K103)</f>
        <v>19392.797142425065</v>
      </c>
      <c r="S103" s="12">
        <f>SUMIFS(Trips[CO2 (kg)],Trips[Bus Type],"Diesel",Trips[Flag route],1,Trips[Month],K103)</f>
        <v>564.92061240977364</v>
      </c>
      <c r="T103" s="12">
        <f>IFERROR(CHOOSE($L$3,M103/L103,L103/M103,N103/L103,O103/L103),NA())</f>
        <v>0.91870665561669884</v>
      </c>
      <c r="U103" s="12">
        <f>IFERROR(CHOOSE($L$3,Q103/P103,P103/Q103,R103/P103,S103/P103),NA())</f>
        <v>2.3994623579517933</v>
      </c>
    </row>
    <row r="104" spans="11:21" x14ac:dyDescent="0.25">
      <c r="K104" s="17">
        <v>46296</v>
      </c>
      <c r="L104" s="12">
        <f>SUMIFS(Trips[Distance (km)],Trips[Bus Type],"EV",Trips[Flag route],1,Trips[Month],K104)</f>
        <v>0</v>
      </c>
      <c r="M104" s="12">
        <f>SUMIFS(Trips[Energy consumed (kWh)],Trips[Bus Type],"EV",Trips[Flag route],1,Trips[Month],K104)</f>
        <v>0</v>
      </c>
      <c r="N104" s="12">
        <f>SUMIFS(Trips[Energy cost (INR)],Trips[Bus Type],"EV",Trips[Flag route],1,Trips[Month],K104)</f>
        <v>0</v>
      </c>
      <c r="O104" s="12">
        <f>SUMIFS(Trips[CO2 (kg)],Trips[Bus Type],"EV",Trips[Flag route],1,Trips[Month],K104)</f>
        <v>0</v>
      </c>
      <c r="P104" s="12">
        <f>SUMIFS(Trips[Distance (km)],Trips[Bus Type],"Diesel",Trips[Flag route],1,Trips[Month],K104)</f>
        <v>0</v>
      </c>
      <c r="Q104" s="12">
        <f>SUMIFS(Trips[Energy consumed (kWh)],Trips[Bus Type],"Diesel",Trips[Flag route],1,Trips[Month],K104)</f>
        <v>0</v>
      </c>
      <c r="R104" s="12">
        <f>SUMIFS(Trips[Energy cost (INR)],Trips[Bus Type],"Diesel",Trips[Flag route],1,Trips[Month],K104)</f>
        <v>0</v>
      </c>
      <c r="S104" s="12">
        <f>SUMIFS(Trips[CO2 (kg)],Trips[Bus Type],"Diesel",Trips[Flag route],1,Trips[Month],K104)</f>
        <v>0</v>
      </c>
      <c r="T104" s="12" t="e">
        <f>IFERROR(CHOOSE($L$3,M104/L104,L104/M104,N104/L104,O104/L104),NA())</f>
        <v>#N/A</v>
      </c>
      <c r="U104" s="12" t="e">
        <f>IFERROR(CHOOSE($L$3,Q104/P104,P104/Q104,R104/P104,S104/P104),NA())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H86"/>
  <sheetViews>
    <sheetView showGridLines="0" workbookViewId="0">
      <pane xSplit="3" ySplit="5" topLeftCell="D117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4.25" x14ac:dyDescent="0.25"/>
  <cols>
    <col min="1" max="1" width="45.7109375" style="12" customWidth="1"/>
    <col min="2" max="2" width="11.28515625" style="12" customWidth="1"/>
    <col min="3" max="3" width="18.7109375" style="12" customWidth="1"/>
    <col min="4" max="4" width="20.7109375" style="12" customWidth="1"/>
    <col min="5" max="5" width="21.140625" style="12" customWidth="1"/>
    <col min="6" max="6" width="25.85546875" style="12" customWidth="1"/>
    <col min="7" max="7" width="24.7109375" style="12" customWidth="1"/>
    <col min="8" max="8" width="0" style="12" hidden="1" customWidth="1"/>
    <col min="9" max="16384" width="9.140625" style="12"/>
  </cols>
  <sheetData>
    <row r="1" spans="1:8" x14ac:dyDescent="0.25">
      <c r="A1" s="30" t="s">
        <v>567</v>
      </c>
      <c r="B1" s="30"/>
      <c r="C1" s="30"/>
      <c r="D1" s="30"/>
      <c r="E1" s="30"/>
      <c r="F1" s="30"/>
      <c r="G1" s="30"/>
      <c r="H1" s="12" t="s">
        <v>619</v>
      </c>
    </row>
    <row r="2" spans="1:8" x14ac:dyDescent="0.25">
      <c r="A2" s="30"/>
      <c r="B2" s="30"/>
      <c r="C2" s="30"/>
      <c r="D2" s="30"/>
      <c r="E2" s="30"/>
      <c r="F2" s="30"/>
      <c r="G2" s="30"/>
      <c r="H2" s="12" t="s">
        <v>620</v>
      </c>
    </row>
    <row r="3" spans="1:8" x14ac:dyDescent="0.25">
      <c r="A3" s="29" t="s">
        <v>568</v>
      </c>
      <c r="B3" s="29"/>
      <c r="C3" s="29"/>
      <c r="D3" s="29"/>
      <c r="E3" s="29"/>
      <c r="F3" s="29"/>
      <c r="G3" s="29"/>
    </row>
    <row r="5" spans="1:8" x14ac:dyDescent="0.25">
      <c r="A5" s="19" t="s">
        <v>569</v>
      </c>
      <c r="B5" s="19"/>
      <c r="C5" s="19" t="s">
        <v>570</v>
      </c>
      <c r="D5" s="19" t="s">
        <v>300</v>
      </c>
      <c r="E5" s="19" t="s">
        <v>457</v>
      </c>
      <c r="F5" s="19"/>
      <c r="G5" s="19"/>
    </row>
    <row r="6" spans="1:8" ht="24.95" customHeight="1" x14ac:dyDescent="0.25">
      <c r="A6" s="12" t="s">
        <v>571</v>
      </c>
      <c r="C6" s="12" t="s">
        <v>572</v>
      </c>
      <c r="D6" s="18">
        <v>13780</v>
      </c>
      <c r="E6" s="18">
        <v>11780</v>
      </c>
    </row>
    <row r="7" spans="1:8" ht="24.95" customHeight="1" x14ac:dyDescent="0.25">
      <c r="A7" s="12" t="s">
        <v>573</v>
      </c>
      <c r="C7" s="12" t="s">
        <v>574</v>
      </c>
      <c r="D7" s="18">
        <v>40</v>
      </c>
      <c r="E7" s="14">
        <f>D7</f>
        <v>40</v>
      </c>
    </row>
    <row r="8" spans="1:8" ht="24.95" customHeight="1" x14ac:dyDescent="0.25">
      <c r="A8" s="12" t="s">
        <v>575</v>
      </c>
      <c r="C8" s="12" t="s">
        <v>576</v>
      </c>
      <c r="D8" s="18">
        <v>68</v>
      </c>
      <c r="E8" s="14">
        <f>D8</f>
        <v>68</v>
      </c>
    </row>
    <row r="9" spans="1:8" ht="24.95" customHeight="1" x14ac:dyDescent="0.25">
      <c r="A9" s="12" t="s">
        <v>577</v>
      </c>
      <c r="C9" s="12" t="s">
        <v>572</v>
      </c>
      <c r="D9" s="14">
        <f>D6+D7*D8</f>
        <v>16500</v>
      </c>
      <c r="E9" s="14">
        <f>E6+D7*D8</f>
        <v>14500</v>
      </c>
    </row>
    <row r="10" spans="1:8" ht="24.95" customHeight="1" x14ac:dyDescent="0.25">
      <c r="A10" s="12" t="s">
        <v>578</v>
      </c>
      <c r="C10" s="12" t="s">
        <v>579</v>
      </c>
      <c r="D10" s="18">
        <v>7.0000000000000001E-3</v>
      </c>
      <c r="E10" s="18">
        <v>7.0000000000000001E-3</v>
      </c>
    </row>
    <row r="11" spans="1:8" ht="24.95" customHeight="1" x14ac:dyDescent="0.25">
      <c r="A11" s="12" t="s">
        <v>580</v>
      </c>
      <c r="C11" s="12" t="s">
        <v>579</v>
      </c>
      <c r="D11" s="18">
        <v>0.65</v>
      </c>
      <c r="E11" s="18">
        <v>0.65</v>
      </c>
    </row>
    <row r="12" spans="1:8" ht="24.95" customHeight="1" x14ac:dyDescent="0.25">
      <c r="A12" s="12" t="s">
        <v>581</v>
      </c>
      <c r="C12" s="12" t="s">
        <v>582</v>
      </c>
      <c r="D12" s="18">
        <v>8.1999999999999993</v>
      </c>
      <c r="E12" s="18">
        <v>8.1999999999999993</v>
      </c>
    </row>
    <row r="13" spans="1:8" ht="24.95" customHeight="1" x14ac:dyDescent="0.25">
      <c r="A13" s="12" t="s">
        <v>583</v>
      </c>
      <c r="C13" s="12" t="s">
        <v>584</v>
      </c>
      <c r="D13" s="18">
        <v>1.18</v>
      </c>
      <c r="E13" s="14">
        <f>D13</f>
        <v>1.18</v>
      </c>
    </row>
    <row r="14" spans="1:8" ht="24.95" customHeight="1" x14ac:dyDescent="0.25">
      <c r="A14" s="12" t="s">
        <v>585</v>
      </c>
      <c r="C14" s="12" t="s">
        <v>586</v>
      </c>
      <c r="D14" s="18">
        <v>9.81</v>
      </c>
      <c r="E14" s="14">
        <f>D14</f>
        <v>9.81</v>
      </c>
    </row>
    <row r="15" spans="1:8" ht="24.95" customHeight="1" x14ac:dyDescent="0.25">
      <c r="A15" s="12" t="s">
        <v>587</v>
      </c>
      <c r="C15" s="12" t="s">
        <v>588</v>
      </c>
      <c r="D15" s="14">
        <f>0.5*D13*D11*D12</f>
        <v>3.1446999999999998</v>
      </c>
      <c r="E15" s="14">
        <f>0.5*E13*E11*E12</f>
        <v>3.1446999999999998</v>
      </c>
    </row>
    <row r="16" spans="1:8" ht="24.95" customHeight="1" x14ac:dyDescent="0.25">
      <c r="A16" s="12" t="s">
        <v>589</v>
      </c>
      <c r="C16" s="12" t="s">
        <v>586</v>
      </c>
      <c r="D16" s="18">
        <v>0.25</v>
      </c>
      <c r="E16" s="18">
        <v>0.25</v>
      </c>
    </row>
    <row r="17" spans="1:5" ht="24.95" customHeight="1" x14ac:dyDescent="0.25">
      <c r="A17" s="12" t="s">
        <v>590</v>
      </c>
      <c r="C17" s="12" t="s">
        <v>579</v>
      </c>
      <c r="D17" s="21">
        <v>0.9</v>
      </c>
      <c r="E17" s="21">
        <v>0.35</v>
      </c>
    </row>
    <row r="18" spans="1:5" ht="24.95" customHeight="1" x14ac:dyDescent="0.25">
      <c r="A18" s="12" t="s">
        <v>591</v>
      </c>
      <c r="C18" s="12" t="s">
        <v>579</v>
      </c>
      <c r="D18" s="21">
        <v>0.95</v>
      </c>
      <c r="E18" s="21">
        <v>0.92</v>
      </c>
    </row>
    <row r="19" spans="1:5" ht="24.95" customHeight="1" x14ac:dyDescent="0.25">
      <c r="A19" s="12" t="s">
        <v>592</v>
      </c>
      <c r="C19" s="12" t="s">
        <v>579</v>
      </c>
      <c r="D19" s="21">
        <v>0.97</v>
      </c>
      <c r="E19" s="22"/>
    </row>
    <row r="20" spans="1:5" ht="24.95" customHeight="1" x14ac:dyDescent="0.25">
      <c r="A20" s="12" t="s">
        <v>593</v>
      </c>
      <c r="C20" s="12" t="s">
        <v>579</v>
      </c>
      <c r="D20" s="22">
        <f>D17*D18*D19</f>
        <v>0.82934999999999992</v>
      </c>
      <c r="E20" s="22">
        <f>E17*E18</f>
        <v>0.32200000000000001</v>
      </c>
    </row>
    <row r="21" spans="1:5" ht="24.95" customHeight="1" x14ac:dyDescent="0.25">
      <c r="A21" s="12" t="s">
        <v>594</v>
      </c>
      <c r="C21" s="12" t="s">
        <v>579</v>
      </c>
      <c r="D21" s="21">
        <v>0.6</v>
      </c>
      <c r="E21" s="21">
        <v>0</v>
      </c>
    </row>
    <row r="22" spans="1:5" ht="24.95" customHeight="1" x14ac:dyDescent="0.25">
      <c r="A22" s="12" t="s">
        <v>595</v>
      </c>
      <c r="C22" s="12" t="s">
        <v>579</v>
      </c>
      <c r="D22" s="21">
        <v>0.5</v>
      </c>
      <c r="E22" s="22">
        <f>D22</f>
        <v>0.5</v>
      </c>
    </row>
    <row r="23" spans="1:5" ht="24.95" customHeight="1" x14ac:dyDescent="0.25">
      <c r="A23" s="12" t="s">
        <v>596</v>
      </c>
      <c r="C23" s="12" t="s">
        <v>597</v>
      </c>
      <c r="D23" s="18">
        <v>3</v>
      </c>
      <c r="E23" s="18">
        <v>3</v>
      </c>
    </row>
    <row r="24" spans="1:5" ht="24.95" customHeight="1" x14ac:dyDescent="0.25">
      <c r="A24" s="12" t="s">
        <v>598</v>
      </c>
      <c r="C24" s="12" t="s">
        <v>599</v>
      </c>
      <c r="D24" s="18">
        <v>0.85</v>
      </c>
      <c r="E24" s="14">
        <f>D24</f>
        <v>0.85</v>
      </c>
    </row>
    <row r="25" spans="1:5" ht="24.95" customHeight="1" x14ac:dyDescent="0.25">
      <c r="A25" s="12" t="s">
        <v>600</v>
      </c>
      <c r="C25" s="12" t="s">
        <v>601</v>
      </c>
      <c r="D25" s="18">
        <v>24</v>
      </c>
      <c r="E25" s="14">
        <f>D25</f>
        <v>24</v>
      </c>
    </row>
    <row r="26" spans="1:5" ht="24.95" customHeight="1" x14ac:dyDescent="0.25">
      <c r="A26" s="12" t="s">
        <v>602</v>
      </c>
      <c r="C26" s="12" t="s">
        <v>601</v>
      </c>
      <c r="D26" s="18">
        <v>30</v>
      </c>
      <c r="E26" s="14">
        <f>D26</f>
        <v>30</v>
      </c>
    </row>
    <row r="27" spans="1:5" ht="24.95" customHeight="1" x14ac:dyDescent="0.25">
      <c r="A27" s="12" t="s">
        <v>603</v>
      </c>
      <c r="C27" s="12" t="s">
        <v>597</v>
      </c>
      <c r="D27" s="14">
        <f>D23+D24*MAX(0,D26-D25)</f>
        <v>8.1</v>
      </c>
      <c r="E27" s="14">
        <f>E23+E24*MAX(0,E26-E25)</f>
        <v>8.1</v>
      </c>
    </row>
    <row r="28" spans="1:5" ht="24.95" customHeight="1" x14ac:dyDescent="0.25">
      <c r="A28" s="12" t="s">
        <v>604</v>
      </c>
      <c r="C28" s="12" t="s">
        <v>605</v>
      </c>
      <c r="D28" s="14"/>
      <c r="E28" s="18">
        <v>2.5</v>
      </c>
    </row>
    <row r="29" spans="1:5" ht="24.95" customHeight="1" x14ac:dyDescent="0.25">
      <c r="A29" s="12" t="s">
        <v>606</v>
      </c>
      <c r="C29" s="12" t="s">
        <v>607</v>
      </c>
      <c r="D29" s="14"/>
      <c r="E29" s="18">
        <v>35.9</v>
      </c>
    </row>
    <row r="30" spans="1:5" ht="24.95" customHeight="1" x14ac:dyDescent="0.25">
      <c r="A30" s="12" t="s">
        <v>606</v>
      </c>
      <c r="C30" s="12" t="s">
        <v>608</v>
      </c>
      <c r="D30" s="14"/>
      <c r="E30" s="14">
        <f>E29/3.6</f>
        <v>9.9722222222222214</v>
      </c>
    </row>
    <row r="31" spans="1:5" ht="24.95" customHeight="1" x14ac:dyDescent="0.25">
      <c r="A31" s="12" t="s">
        <v>609</v>
      </c>
      <c r="C31" s="12" t="s">
        <v>579</v>
      </c>
      <c r="D31" s="21">
        <v>0.92</v>
      </c>
      <c r="E31" s="14"/>
    </row>
    <row r="32" spans="1:5" ht="24.95" customHeight="1" x14ac:dyDescent="0.25">
      <c r="A32" s="12" t="s">
        <v>610</v>
      </c>
      <c r="C32" s="12" t="s">
        <v>611</v>
      </c>
      <c r="D32" s="18">
        <v>9.5</v>
      </c>
      <c r="E32" s="14"/>
    </row>
    <row r="33" spans="1:7" ht="24.95" customHeight="1" x14ac:dyDescent="0.25">
      <c r="A33" s="12" t="s">
        <v>612</v>
      </c>
      <c r="C33" s="12" t="s">
        <v>613</v>
      </c>
      <c r="D33" s="14"/>
      <c r="E33" s="18">
        <v>92</v>
      </c>
    </row>
    <row r="34" spans="1:7" ht="24.95" customHeight="1" x14ac:dyDescent="0.25">
      <c r="A34" s="12" t="s">
        <v>614</v>
      </c>
      <c r="C34" s="12" t="s">
        <v>615</v>
      </c>
      <c r="D34" s="18">
        <v>0.71</v>
      </c>
      <c r="E34" s="14"/>
    </row>
    <row r="35" spans="1:7" ht="24.95" customHeight="1" x14ac:dyDescent="0.25">
      <c r="A35" s="12" t="s">
        <v>616</v>
      </c>
      <c r="C35" s="12" t="s">
        <v>617</v>
      </c>
      <c r="D35" s="14"/>
      <c r="E35" s="18">
        <v>2.68</v>
      </c>
    </row>
    <row r="38" spans="1:7" x14ac:dyDescent="0.25">
      <c r="A38" s="12" t="s">
        <v>618</v>
      </c>
      <c r="D38" s="20" t="s">
        <v>619</v>
      </c>
    </row>
    <row r="39" spans="1:7" x14ac:dyDescent="0.25">
      <c r="A39" s="12" t="s">
        <v>621</v>
      </c>
      <c r="D39" s="12">
        <f>COUNTIFS(Trips[Bus Type],"EV",Trips[Measured energy (kWh eq)],"&gt;0")</f>
        <v>0</v>
      </c>
      <c r="E39" s="12">
        <f>COUNTIFS(Trips[Bus Type],"Diesel",Trips[Measured energy (kWh eq)],"&gt;0")</f>
        <v>0</v>
      </c>
    </row>
    <row r="40" spans="1:7" x14ac:dyDescent="0.25">
      <c r="A40" s="12" t="s">
        <v>622</v>
      </c>
      <c r="D40" s="12">
        <f>SUMIFS(Trips[Measured energy (kWh eq)],Trips[Bus Type],"EV",Trips[Measured energy (kWh eq)],"&gt;0")</f>
        <v>0</v>
      </c>
      <c r="E40" s="12">
        <f>SUMIFS(Trips[Measured energy (kWh eq)],Trips[Bus Type],"Diesel",Trips[Measured energy (kWh eq)],"&gt;0")</f>
        <v>0</v>
      </c>
    </row>
    <row r="41" spans="1:7" x14ac:dyDescent="0.25">
      <c r="A41" s="12" t="s">
        <v>623</v>
      </c>
      <c r="D41" s="12">
        <f>SUMIFS(Trips[Modelled energy (kWh)],Trips[Bus Type],"EV",Trips[Measured energy (kWh eq)],"&gt;0")</f>
        <v>0</v>
      </c>
      <c r="E41" s="12">
        <f>SUMIFS(Trips[Modelled energy (kWh)],Trips[Bus Type],"Diesel",Trips[Measured energy (kWh eq)],"&gt;0")</f>
        <v>0</v>
      </c>
    </row>
    <row r="42" spans="1:7" x14ac:dyDescent="0.25">
      <c r="A42" s="12" t="s">
        <v>439</v>
      </c>
      <c r="D42" s="12">
        <f>IF(D40&gt;0,D40/D41,1)</f>
        <v>1</v>
      </c>
      <c r="E42" s="12">
        <f>IF(E40&gt;0,E40/E41,1)</f>
        <v>1</v>
      </c>
    </row>
    <row r="46" spans="1:7" ht="30" customHeight="1" x14ac:dyDescent="0.25">
      <c r="A46" s="31" t="s">
        <v>624</v>
      </c>
      <c r="B46" s="31"/>
      <c r="C46" s="31"/>
      <c r="D46" s="31"/>
      <c r="E46" s="31"/>
      <c r="F46" s="31"/>
      <c r="G46" s="31"/>
    </row>
    <row r="47" spans="1:7" ht="30" customHeight="1" x14ac:dyDescent="0.25">
      <c r="A47" s="29" t="s">
        <v>625</v>
      </c>
      <c r="B47" s="29"/>
      <c r="C47" s="29"/>
      <c r="D47" s="29"/>
      <c r="E47" s="29"/>
      <c r="F47" s="29"/>
      <c r="G47" s="29"/>
    </row>
    <row r="48" spans="1:7" ht="30" customHeight="1" x14ac:dyDescent="0.25">
      <c r="A48" s="29" t="s">
        <v>626</v>
      </c>
      <c r="B48" s="29"/>
      <c r="C48" s="29"/>
      <c r="D48" s="29"/>
      <c r="E48" s="29"/>
      <c r="F48" s="29"/>
      <c r="G48" s="29"/>
    </row>
    <row r="49" spans="1:7" ht="30" customHeight="1" x14ac:dyDescent="0.25">
      <c r="A49" s="29" t="s">
        <v>627</v>
      </c>
      <c r="B49" s="29"/>
      <c r="C49" s="29"/>
      <c r="D49" s="29"/>
      <c r="E49" s="29"/>
      <c r="F49" s="29"/>
      <c r="G49" s="29"/>
    </row>
    <row r="50" spans="1:7" ht="30" customHeight="1" x14ac:dyDescent="0.25">
      <c r="A50" s="29" t="s">
        <v>628</v>
      </c>
      <c r="B50" s="29"/>
      <c r="C50" s="29"/>
      <c r="D50" s="29"/>
      <c r="E50" s="29"/>
      <c r="F50" s="29"/>
      <c r="G50" s="29"/>
    </row>
    <row r="51" spans="1:7" ht="30" customHeight="1" x14ac:dyDescent="0.25">
      <c r="A51" s="29" t="s">
        <v>629</v>
      </c>
      <c r="B51" s="29"/>
      <c r="C51" s="29"/>
      <c r="D51" s="29"/>
      <c r="E51" s="29"/>
      <c r="F51" s="29"/>
      <c r="G51" s="29"/>
    </row>
    <row r="52" spans="1:7" ht="30" customHeight="1" x14ac:dyDescent="0.25">
      <c r="A52" s="29" t="s">
        <v>630</v>
      </c>
      <c r="B52" s="29"/>
      <c r="C52" s="29"/>
      <c r="D52" s="29"/>
      <c r="E52" s="29"/>
      <c r="F52" s="29"/>
      <c r="G52" s="29"/>
    </row>
    <row r="53" spans="1:7" ht="30" customHeight="1" x14ac:dyDescent="0.25">
      <c r="A53" s="29" t="s">
        <v>631</v>
      </c>
      <c r="B53" s="29"/>
      <c r="C53" s="29"/>
      <c r="D53" s="29"/>
      <c r="E53" s="29"/>
      <c r="F53" s="29"/>
      <c r="G53" s="29"/>
    </row>
    <row r="54" spans="1:7" ht="30" customHeight="1" x14ac:dyDescent="0.25">
      <c r="A54" s="29" t="s">
        <v>632</v>
      </c>
      <c r="B54" s="29"/>
      <c r="C54" s="29"/>
      <c r="D54" s="29"/>
      <c r="E54" s="29"/>
      <c r="F54" s="29"/>
      <c r="G54" s="29"/>
    </row>
    <row r="55" spans="1:7" ht="30" customHeight="1" x14ac:dyDescent="0.25">
      <c r="A55" s="29" t="s">
        <v>633</v>
      </c>
      <c r="B55" s="29"/>
      <c r="C55" s="29"/>
      <c r="D55" s="29"/>
      <c r="E55" s="29"/>
      <c r="F55" s="29"/>
      <c r="G55" s="29"/>
    </row>
    <row r="56" spans="1:7" ht="30" customHeight="1" x14ac:dyDescent="0.25">
      <c r="A56" s="29" t="s">
        <v>634</v>
      </c>
      <c r="B56" s="29"/>
      <c r="C56" s="29"/>
      <c r="D56" s="29"/>
      <c r="E56" s="29"/>
      <c r="F56" s="29"/>
      <c r="G56" s="29"/>
    </row>
    <row r="57" spans="1:7" ht="30" customHeight="1" x14ac:dyDescent="0.25">
      <c r="A57" s="29" t="s">
        <v>635</v>
      </c>
      <c r="B57" s="29"/>
      <c r="C57" s="29"/>
      <c r="D57" s="29"/>
      <c r="E57" s="29"/>
      <c r="F57" s="29"/>
      <c r="G57" s="29"/>
    </row>
    <row r="58" spans="1:7" ht="30" customHeight="1" x14ac:dyDescent="0.25">
      <c r="A58" s="29" t="s">
        <v>636</v>
      </c>
      <c r="B58" s="29"/>
      <c r="C58" s="29"/>
      <c r="D58" s="29"/>
      <c r="E58" s="29"/>
      <c r="F58" s="29"/>
      <c r="G58" s="29"/>
    </row>
    <row r="59" spans="1:7" ht="30" customHeight="1" x14ac:dyDescent="0.25">
      <c r="A59" s="29" t="s">
        <v>637</v>
      </c>
      <c r="B59" s="29"/>
      <c r="C59" s="29"/>
      <c r="D59" s="29"/>
      <c r="E59" s="29"/>
      <c r="F59" s="29"/>
      <c r="G59" s="29"/>
    </row>
    <row r="60" spans="1:7" ht="30" customHeight="1" x14ac:dyDescent="0.25">
      <c r="A60" s="29" t="s">
        <v>638</v>
      </c>
      <c r="B60" s="29"/>
      <c r="C60" s="29"/>
      <c r="D60" s="29"/>
      <c r="E60" s="29"/>
      <c r="F60" s="29"/>
      <c r="G60" s="29"/>
    </row>
    <row r="61" spans="1:7" ht="30" customHeight="1" x14ac:dyDescent="0.25">
      <c r="A61" s="29" t="s">
        <v>639</v>
      </c>
      <c r="B61" s="29"/>
      <c r="C61" s="29"/>
      <c r="D61" s="29"/>
      <c r="E61" s="29"/>
      <c r="F61" s="29"/>
      <c r="G61" s="29"/>
    </row>
    <row r="62" spans="1:7" ht="30" customHeight="1" x14ac:dyDescent="0.25">
      <c r="A62" s="29" t="s">
        <v>640</v>
      </c>
      <c r="B62" s="29"/>
      <c r="C62" s="29"/>
      <c r="D62" s="29"/>
      <c r="E62" s="29"/>
      <c r="F62" s="29"/>
      <c r="G62" s="29"/>
    </row>
    <row r="63" spans="1:7" ht="30" customHeight="1" x14ac:dyDescent="0.25">
      <c r="A63" s="29" t="s">
        <v>641</v>
      </c>
      <c r="B63" s="29"/>
      <c r="C63" s="29"/>
      <c r="D63" s="29"/>
      <c r="E63" s="29"/>
      <c r="F63" s="29"/>
      <c r="G63" s="29"/>
    </row>
    <row r="64" spans="1:7" ht="30" customHeight="1" x14ac:dyDescent="0.25">
      <c r="A64" s="29" t="s">
        <v>642</v>
      </c>
      <c r="B64" s="29"/>
      <c r="C64" s="29"/>
      <c r="D64" s="29"/>
      <c r="E64" s="29"/>
      <c r="F64" s="29"/>
      <c r="G64" s="29"/>
    </row>
    <row r="65" spans="1:7" ht="30" customHeight="1" x14ac:dyDescent="0.25">
      <c r="A65" s="29" t="s">
        <v>643</v>
      </c>
      <c r="B65" s="29"/>
      <c r="C65" s="29"/>
      <c r="D65" s="29"/>
      <c r="E65" s="29"/>
      <c r="F65" s="29"/>
      <c r="G65" s="29"/>
    </row>
    <row r="80" spans="1:7" ht="33.950000000000003" customHeight="1" x14ac:dyDescent="0.25">
      <c r="A80" s="13" t="s">
        <v>384</v>
      </c>
      <c r="B80" s="13" t="s">
        <v>38</v>
      </c>
      <c r="C80" s="13" t="s">
        <v>644</v>
      </c>
      <c r="D80" s="13" t="s">
        <v>645</v>
      </c>
      <c r="E80" s="13" t="s">
        <v>646</v>
      </c>
      <c r="F80" s="13" t="s">
        <v>647</v>
      </c>
      <c r="G80" s="13" t="s">
        <v>411</v>
      </c>
    </row>
    <row r="81" spans="1:7" ht="33.950000000000003" customHeight="1" x14ac:dyDescent="0.25">
      <c r="A81" s="13" t="s">
        <v>29</v>
      </c>
      <c r="B81" s="13" t="s">
        <v>41</v>
      </c>
      <c r="C81" s="13" t="s">
        <v>648</v>
      </c>
      <c r="D81" s="13" t="s">
        <v>649</v>
      </c>
      <c r="E81" s="23">
        <v>10</v>
      </c>
      <c r="F81" s="23">
        <v>5</v>
      </c>
      <c r="G81" s="13">
        <f t="shared" ref="G81:G86" si="0">F81-E81</f>
        <v>-5</v>
      </c>
    </row>
    <row r="82" spans="1:7" ht="33.950000000000003" customHeight="1" x14ac:dyDescent="0.25">
      <c r="A82" s="13" t="s">
        <v>29</v>
      </c>
      <c r="B82" s="13" t="s">
        <v>52</v>
      </c>
      <c r="C82" s="13" t="s">
        <v>649</v>
      </c>
      <c r="D82" s="13" t="s">
        <v>648</v>
      </c>
      <c r="E82" s="23">
        <v>5</v>
      </c>
      <c r="F82" s="23">
        <v>10</v>
      </c>
      <c r="G82" s="13">
        <f t="shared" si="0"/>
        <v>5</v>
      </c>
    </row>
    <row r="83" spans="1:7" ht="33.950000000000003" customHeight="1" x14ac:dyDescent="0.25">
      <c r="A83" s="13" t="s">
        <v>35</v>
      </c>
      <c r="B83" s="13" t="s">
        <v>50</v>
      </c>
      <c r="C83" s="13" t="s">
        <v>650</v>
      </c>
      <c r="D83" s="13" t="s">
        <v>651</v>
      </c>
      <c r="E83" s="23">
        <v>20</v>
      </c>
      <c r="F83" s="23">
        <v>905</v>
      </c>
      <c r="G83" s="13">
        <f t="shared" si="0"/>
        <v>885</v>
      </c>
    </row>
    <row r="84" spans="1:7" ht="33.950000000000003" customHeight="1" x14ac:dyDescent="0.25">
      <c r="A84" s="13" t="s">
        <v>35</v>
      </c>
      <c r="B84" s="13" t="s">
        <v>55</v>
      </c>
      <c r="C84" s="13" t="s">
        <v>651</v>
      </c>
      <c r="D84" s="13" t="s">
        <v>650</v>
      </c>
      <c r="E84" s="23">
        <v>905</v>
      </c>
      <c r="F84" s="23">
        <v>20</v>
      </c>
      <c r="G84" s="13">
        <f t="shared" si="0"/>
        <v>-885</v>
      </c>
    </row>
    <row r="85" spans="1:7" ht="33.950000000000003" customHeight="1" x14ac:dyDescent="0.25">
      <c r="A85" s="13" t="s">
        <v>531</v>
      </c>
      <c r="B85" s="13" t="s">
        <v>532</v>
      </c>
      <c r="C85" s="13" t="s">
        <v>650</v>
      </c>
      <c r="D85" s="13" t="s">
        <v>652</v>
      </c>
      <c r="E85" s="23">
        <v>20</v>
      </c>
      <c r="F85" s="23">
        <v>900</v>
      </c>
      <c r="G85" s="13">
        <f t="shared" si="0"/>
        <v>880</v>
      </c>
    </row>
    <row r="86" spans="1:7" ht="33.950000000000003" customHeight="1" x14ac:dyDescent="0.25">
      <c r="A86" s="13" t="s">
        <v>531</v>
      </c>
      <c r="B86" s="13" t="s">
        <v>541</v>
      </c>
      <c r="C86" s="13" t="s">
        <v>652</v>
      </c>
      <c r="D86" s="13" t="s">
        <v>650</v>
      </c>
      <c r="E86" s="23">
        <v>900</v>
      </c>
      <c r="F86" s="23">
        <v>20</v>
      </c>
      <c r="G86" s="13">
        <f t="shared" si="0"/>
        <v>-880</v>
      </c>
    </row>
  </sheetData>
  <mergeCells count="22">
    <mergeCell ref="A55:G55"/>
    <mergeCell ref="A1:G2"/>
    <mergeCell ref="A3:G3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62:G62"/>
    <mergeCell ref="A63:G63"/>
    <mergeCell ref="A64:G64"/>
    <mergeCell ref="A65:G65"/>
    <mergeCell ref="A56:G56"/>
    <mergeCell ref="A57:G57"/>
    <mergeCell ref="A58:G58"/>
    <mergeCell ref="A59:G59"/>
    <mergeCell ref="A60:G60"/>
    <mergeCell ref="A61:G61"/>
  </mergeCells>
  <dataValidations count="35">
    <dataValidation type="decimal" allowBlank="1" showInputMessage="1" showErrorMessage="1" errorTitle="Invalid number" error="Enter a value from 1e-06 to 1000000." sqref="D6">
      <formula1>0.000001</formula1>
      <formula2>1000000</formula2>
    </dataValidation>
    <dataValidation type="decimal" allowBlank="1" showInputMessage="1" showErrorMessage="1" errorTitle="Invalid number" error="Enter a value from 1e-06 to 1000000." sqref="E6">
      <formula1>0.000001</formula1>
      <formula2>1000000</formula2>
    </dataValidation>
    <dataValidation type="decimal" allowBlank="1" showInputMessage="1" showErrorMessage="1" errorTitle="Invalid number" error="Enter a value from 0 to 1000000." sqref="D7">
      <formula1>0</formula1>
      <formula2>1000000</formula2>
    </dataValidation>
    <dataValidation type="decimal" allowBlank="1" showInputMessage="1" showErrorMessage="1" errorTitle="Invalid number" error="Enter a value from 0 to 1000000." sqref="D8">
      <formula1>0</formula1>
      <formula2>1000000</formula2>
    </dataValidation>
    <dataValidation type="decimal" allowBlank="1" showInputMessage="1" showErrorMessage="1" errorTitle="Invalid number" error="Enter a value from 0 to 1000000." sqref="D10">
      <formula1>0</formula1>
      <formula2>1000000</formula2>
    </dataValidation>
    <dataValidation type="decimal" allowBlank="1" showInputMessage="1" showErrorMessage="1" errorTitle="Invalid number" error="Enter a value from 0 to 1000000." sqref="E10">
      <formula1>0</formula1>
      <formula2>1000000</formula2>
    </dataValidation>
    <dataValidation type="decimal" allowBlank="1" showInputMessage="1" showErrorMessage="1" errorTitle="Invalid number" error="Enter a value from 0 to 1000000." sqref="D11">
      <formula1>0</formula1>
      <formula2>1000000</formula2>
    </dataValidation>
    <dataValidation type="decimal" allowBlank="1" showInputMessage="1" showErrorMessage="1" errorTitle="Invalid number" error="Enter a value from 0 to 1000000." sqref="E11">
      <formula1>0</formula1>
      <formula2>1000000</formula2>
    </dataValidation>
    <dataValidation type="decimal" allowBlank="1" showInputMessage="1" showErrorMessage="1" errorTitle="Invalid number" error="Enter a value from 0 to 1000000." sqref="D12">
      <formula1>0</formula1>
      <formula2>1000000</formula2>
    </dataValidation>
    <dataValidation type="decimal" allowBlank="1" showInputMessage="1" showErrorMessage="1" errorTitle="Invalid number" error="Enter a value from 0 to 1000000." sqref="E12">
      <formula1>0</formula1>
      <formula2>1000000</formula2>
    </dataValidation>
    <dataValidation type="decimal" allowBlank="1" showInputMessage="1" showErrorMessage="1" errorTitle="Invalid number" error="Enter a value from 1e-06 to 1000000." sqref="D13">
      <formula1>0.000001</formula1>
      <formula2>1000000</formula2>
    </dataValidation>
    <dataValidation type="decimal" allowBlank="1" showInputMessage="1" showErrorMessage="1" errorTitle="Invalid number" error="Enter a value from 1e-06 to 1000000." sqref="D14">
      <formula1>0.000001</formula1>
      <formula2>1000000</formula2>
    </dataValidation>
    <dataValidation type="decimal" allowBlank="1" showInputMessage="1" showErrorMessage="1" errorTitle="Invalid number" error="Enter a value from 1e-06 to 1000000." sqref="D16">
      <formula1>0.000001</formula1>
      <formula2>1000000</formula2>
    </dataValidation>
    <dataValidation type="decimal" allowBlank="1" showInputMessage="1" showErrorMessage="1" errorTitle="Invalid number" error="Enter a value from 1e-06 to 1000000." sqref="E16">
      <formula1>0.000001</formula1>
      <formula2>1000000</formula2>
    </dataValidation>
    <dataValidation type="decimal" allowBlank="1" showInputMessage="1" showErrorMessage="1" errorTitle="Invalid number" error="Enter a value from 1e-06 to 1." sqref="D17">
      <formula1>0.000001</formula1>
      <formula2>1</formula2>
    </dataValidation>
    <dataValidation type="decimal" allowBlank="1" showInputMessage="1" showErrorMessage="1" errorTitle="Invalid number" error="Enter a value from 1e-06 to 1." sqref="E17">
      <formula1>0.000001</formula1>
      <formula2>1</formula2>
    </dataValidation>
    <dataValidation type="decimal" allowBlank="1" showInputMessage="1" showErrorMessage="1" errorTitle="Invalid number" error="Enter a value from 1e-06 to 1." sqref="D18">
      <formula1>0.000001</formula1>
      <formula2>1</formula2>
    </dataValidation>
    <dataValidation type="decimal" allowBlank="1" showInputMessage="1" showErrorMessage="1" errorTitle="Invalid number" error="Enter a value from 1e-06 to 1." sqref="E18">
      <formula1>0.000001</formula1>
      <formula2>1</formula2>
    </dataValidation>
    <dataValidation type="decimal" allowBlank="1" showInputMessage="1" showErrorMessage="1" errorTitle="Invalid number" error="Enter a value from 1e-06 to 1." sqref="D19">
      <formula1>0.000001</formula1>
      <formula2>1</formula2>
    </dataValidation>
    <dataValidation type="decimal" allowBlank="1" showInputMessage="1" showErrorMessage="1" errorTitle="Invalid number" error="Enter a value from 0 to 1." sqref="D21">
      <formula1>0</formula1>
      <formula2>1</formula2>
    </dataValidation>
    <dataValidation type="decimal" allowBlank="1" showInputMessage="1" showErrorMessage="1" errorTitle="Invalid number" error="Enter a value from 0 to 1." sqref="E21">
      <formula1>0</formula1>
      <formula2>1</formula2>
    </dataValidation>
    <dataValidation type="decimal" allowBlank="1" showInputMessage="1" showErrorMessage="1" errorTitle="Invalid number" error="Enter a value from 0 to 1." sqref="D22">
      <formula1>0</formula1>
      <formula2>1</formula2>
    </dataValidation>
    <dataValidation type="decimal" allowBlank="1" showInputMessage="1" showErrorMessage="1" errorTitle="Invalid number" error="Enter a value from 0 to 1000000." sqref="D23">
      <formula1>0</formula1>
      <formula2>1000000</formula2>
    </dataValidation>
    <dataValidation type="decimal" allowBlank="1" showInputMessage="1" showErrorMessage="1" errorTitle="Invalid number" error="Enter a value from 0 to 1000000." sqref="E23">
      <formula1>0</formula1>
      <formula2>1000000</formula2>
    </dataValidation>
    <dataValidation type="decimal" allowBlank="1" showInputMessage="1" showErrorMessage="1" errorTitle="Invalid number" error="Enter a value from 0 to 1000000." sqref="D24">
      <formula1>0</formula1>
      <formula2>1000000</formula2>
    </dataValidation>
    <dataValidation type="decimal" allowBlank="1" showInputMessage="1" showErrorMessage="1" errorTitle="Invalid number" error="Enter a value from -50 to 1000000." sqref="D25">
      <formula1>-50</formula1>
      <formula2>1000000</formula2>
    </dataValidation>
    <dataValidation type="decimal" allowBlank="1" showInputMessage="1" showErrorMessage="1" errorTitle="Invalid number" error="Enter a value from -50 to 1000000." sqref="D26">
      <formula1>-50</formula1>
      <formula2>1000000</formula2>
    </dataValidation>
    <dataValidation type="decimal" allowBlank="1" showInputMessage="1" showErrorMessage="1" errorTitle="Invalid number" error="Enter a value from 0 to 1000000." sqref="E28">
      <formula1>0</formula1>
      <formula2>1000000</formula2>
    </dataValidation>
    <dataValidation type="decimal" allowBlank="1" showInputMessage="1" showErrorMessage="1" errorTitle="Invalid number" error="Enter a value from 1e-06 to 1000000." sqref="E29">
      <formula1>0.000001</formula1>
      <formula2>1000000</formula2>
    </dataValidation>
    <dataValidation type="decimal" allowBlank="1" showInputMessage="1" showErrorMessage="1" errorTitle="Invalid number" error="Enter a value from 1e-06 to 1." sqref="D31">
      <formula1>0.000001</formula1>
      <formula2>1</formula2>
    </dataValidation>
    <dataValidation type="decimal" allowBlank="1" showInputMessage="1" showErrorMessage="1" errorTitle="Invalid number" error="Enter a value from 0 to 1000000." sqref="D32">
      <formula1>0</formula1>
      <formula2>1000000</formula2>
    </dataValidation>
    <dataValidation type="decimal" allowBlank="1" showInputMessage="1" showErrorMessage="1" errorTitle="Invalid number" error="Enter a value from 0 to 1000000." sqref="E33">
      <formula1>0</formula1>
      <formula2>1000000</formula2>
    </dataValidation>
    <dataValidation type="decimal" allowBlank="1" showInputMessage="1" showErrorMessage="1" errorTitle="Invalid number" error="Enter a value from 0 to 1000000." sqref="D34">
      <formula1>0</formula1>
      <formula2>1000000</formula2>
    </dataValidation>
    <dataValidation type="decimal" allowBlank="1" showInputMessage="1" showErrorMessage="1" errorTitle="Invalid number" error="Enter a value from 0 to 1000000." sqref="E35">
      <formula1>0</formula1>
      <formula2>1000000</formula2>
    </dataValidation>
    <dataValidation type="list" allowBlank="1" showInputMessage="1" showErrorMessage="1" errorTitle="Select a listed value" error="Use the dropdown list." sqref="D38">
      <formula1>$H$1:$H$2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7784"/>
  </sheetPr>
  <dimension ref="A1:BX112"/>
  <sheetViews>
    <sheetView showGridLines="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H5" sqref="H5"/>
    </sheetView>
  </sheetViews>
  <sheetFormatPr defaultRowHeight="14.25" x14ac:dyDescent="0.25"/>
  <cols>
    <col min="1" max="2" width="20.7109375" style="12" customWidth="1"/>
    <col min="3" max="4" width="14.7109375" style="12" customWidth="1"/>
    <col min="5" max="6" width="32.7109375" style="12" customWidth="1"/>
    <col min="7" max="76" width="16.7109375" style="12" customWidth="1"/>
    <col min="77" max="16384" width="9.140625" style="12"/>
  </cols>
  <sheetData>
    <row r="1" spans="1:76" x14ac:dyDescent="0.25">
      <c r="A1" s="30" t="s">
        <v>379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76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76" x14ac:dyDescent="0.25">
      <c r="A3" s="29" t="s">
        <v>380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76" ht="60" customHeight="1" x14ac:dyDescent="0.25">
      <c r="A4" s="13" t="s">
        <v>381</v>
      </c>
      <c r="B4" s="13" t="s">
        <v>60</v>
      </c>
      <c r="C4" s="13" t="s">
        <v>382</v>
      </c>
      <c r="D4" s="13" t="s">
        <v>383</v>
      </c>
      <c r="E4" s="13" t="s">
        <v>384</v>
      </c>
      <c r="F4" s="13" t="s">
        <v>38</v>
      </c>
      <c r="G4" s="13" t="s">
        <v>385</v>
      </c>
      <c r="H4" s="13" t="s">
        <v>386</v>
      </c>
      <c r="I4" s="13" t="s">
        <v>387</v>
      </c>
      <c r="J4" s="13" t="s">
        <v>388</v>
      </c>
      <c r="K4" s="13" t="s">
        <v>389</v>
      </c>
      <c r="L4" s="13" t="s">
        <v>390</v>
      </c>
      <c r="M4" s="13" t="s">
        <v>391</v>
      </c>
      <c r="N4" s="13" t="s">
        <v>392</v>
      </c>
      <c r="O4" s="13" t="s">
        <v>393</v>
      </c>
      <c r="P4" s="13" t="s">
        <v>394</v>
      </c>
      <c r="Q4" s="13" t="s">
        <v>395</v>
      </c>
      <c r="R4" s="13" t="s">
        <v>396</v>
      </c>
      <c r="S4" s="13" t="s">
        <v>397</v>
      </c>
      <c r="T4" s="13" t="s">
        <v>398</v>
      </c>
      <c r="U4" s="13" t="s">
        <v>399</v>
      </c>
      <c r="V4" s="13" t="s">
        <v>400</v>
      </c>
      <c r="W4" s="13" t="s">
        <v>401</v>
      </c>
      <c r="X4" s="13" t="s">
        <v>402</v>
      </c>
      <c r="Y4" s="13" t="s">
        <v>403</v>
      </c>
      <c r="Z4" s="13" t="s">
        <v>404</v>
      </c>
      <c r="AA4" s="13" t="s">
        <v>405</v>
      </c>
      <c r="AB4" s="13" t="s">
        <v>406</v>
      </c>
      <c r="AC4" s="13" t="s">
        <v>407</v>
      </c>
      <c r="AD4" s="13" t="s">
        <v>408</v>
      </c>
      <c r="AE4" s="13" t="s">
        <v>409</v>
      </c>
      <c r="AF4" s="13" t="s">
        <v>410</v>
      </c>
      <c r="AG4" s="13" t="s">
        <v>411</v>
      </c>
      <c r="AH4" s="13" t="s">
        <v>412</v>
      </c>
      <c r="AI4" s="13" t="s">
        <v>413</v>
      </c>
      <c r="AJ4" s="13" t="s">
        <v>414</v>
      </c>
      <c r="AK4" s="13" t="s">
        <v>415</v>
      </c>
      <c r="AL4" s="13" t="s">
        <v>416</v>
      </c>
      <c r="AM4" s="13" t="s">
        <v>417</v>
      </c>
      <c r="AN4" s="13" t="s">
        <v>418</v>
      </c>
      <c r="AO4" s="13" t="s">
        <v>419</v>
      </c>
      <c r="AP4" s="13" t="s">
        <v>420</v>
      </c>
      <c r="AQ4" s="13" t="s">
        <v>421</v>
      </c>
      <c r="AR4" s="13" t="s">
        <v>422</v>
      </c>
      <c r="AS4" s="13" t="s">
        <v>423</v>
      </c>
      <c r="AT4" s="13" t="s">
        <v>424</v>
      </c>
      <c r="AU4" s="13" t="s">
        <v>425</v>
      </c>
      <c r="AV4" s="13" t="s">
        <v>426</v>
      </c>
      <c r="AW4" s="13" t="s">
        <v>427</v>
      </c>
      <c r="AX4" s="13" t="s">
        <v>428</v>
      </c>
      <c r="AY4" s="13" t="s">
        <v>429</v>
      </c>
      <c r="AZ4" s="13" t="s">
        <v>430</v>
      </c>
      <c r="BA4" s="13" t="s">
        <v>431</v>
      </c>
      <c r="BB4" s="13" t="s">
        <v>432</v>
      </c>
      <c r="BC4" s="13" t="s">
        <v>433</v>
      </c>
      <c r="BD4" s="13" t="s">
        <v>434</v>
      </c>
      <c r="BE4" s="13" t="s">
        <v>435</v>
      </c>
      <c r="BF4" s="13" t="s">
        <v>436</v>
      </c>
      <c r="BG4" s="13" t="s">
        <v>437</v>
      </c>
      <c r="BH4" s="13" t="s">
        <v>438</v>
      </c>
      <c r="BI4" s="13" t="s">
        <v>439</v>
      </c>
      <c r="BJ4" s="13" t="s">
        <v>440</v>
      </c>
      <c r="BK4" s="13" t="s">
        <v>441</v>
      </c>
      <c r="BL4" s="13" t="s">
        <v>442</v>
      </c>
      <c r="BM4" s="13" t="s">
        <v>443</v>
      </c>
      <c r="BN4" s="13" t="s">
        <v>444</v>
      </c>
      <c r="BO4" s="13" t="s">
        <v>445</v>
      </c>
      <c r="BP4" s="13" t="s">
        <v>446</v>
      </c>
      <c r="BQ4" s="13" t="s">
        <v>447</v>
      </c>
      <c r="BR4" s="13" t="s">
        <v>448</v>
      </c>
      <c r="BS4" s="13" t="s">
        <v>449</v>
      </c>
      <c r="BT4" s="13" t="s">
        <v>450</v>
      </c>
      <c r="BU4" s="13" t="s">
        <v>451</v>
      </c>
      <c r="BV4" s="13" t="s">
        <v>452</v>
      </c>
      <c r="BW4" s="13" t="s">
        <v>453</v>
      </c>
      <c r="BX4" s="13" t="s">
        <v>454</v>
      </c>
    </row>
    <row r="5" spans="1:76" x14ac:dyDescent="0.25">
      <c r="A5" s="12" t="s">
        <v>455</v>
      </c>
      <c r="B5" s="12" t="s">
        <v>75</v>
      </c>
      <c r="C5" s="15">
        <v>46208</v>
      </c>
      <c r="D5" s="12" t="s">
        <v>300</v>
      </c>
      <c r="E5" s="12" t="s">
        <v>35</v>
      </c>
      <c r="F5" s="12" t="s">
        <v>55</v>
      </c>
      <c r="G5" s="16">
        <v>0.35842592592592593</v>
      </c>
      <c r="H5" s="14">
        <v>30</v>
      </c>
      <c r="I5" s="14">
        <v>23.65</v>
      </c>
      <c r="J5" s="14">
        <v>25.7</v>
      </c>
      <c r="K5" s="14">
        <v>7.6</v>
      </c>
      <c r="L5" s="14">
        <v>61.423733333333331</v>
      </c>
      <c r="M5" s="14">
        <v>45.18333333333333</v>
      </c>
      <c r="N5" s="14">
        <v>150.2833333333333</v>
      </c>
      <c r="O5" s="14">
        <v>0.31331323290921648</v>
      </c>
      <c r="P5" s="14">
        <v>4.1652318794050638E-2</v>
      </c>
      <c r="Q5" s="14">
        <v>0.155968406398383</v>
      </c>
      <c r="R5" s="14">
        <v>0.44927380259769911</v>
      </c>
      <c r="S5" s="14">
        <v>60.308696506028731</v>
      </c>
      <c r="T5" s="14">
        <v>44.619089325926979</v>
      </c>
      <c r="U5" s="14">
        <v>199.27859331962469</v>
      </c>
      <c r="V5" s="18"/>
      <c r="W5" s="18"/>
      <c r="X5" s="18"/>
      <c r="Y5" s="18"/>
      <c r="Z5" s="18"/>
      <c r="AA5" s="14" t="str">
        <f>IF(AND(D5&lt;&gt;"EV",D5&lt;&gt;"Diesel"),"Invalid vehicle",IF(COUNTIFS(Routes[Corridor],E5,Routes[Direction],F5)=0,"Unknown route",IF(C5="","Missing date",IF(SUM(O5:U5)&lt;=0,"No distance","OK"))))</f>
        <v>OK</v>
      </c>
      <c r="AB5" s="17">
        <f t="shared" ref="AB5" si="0">IF(C5="","",DATE(YEAR(C5),MONTH(C5),1))</f>
        <v>46204</v>
      </c>
      <c r="AC5" s="14">
        <f>--(COUNTIFS($C$5:C5,C5,$D$5:D5,D5,$G$5:G5,G5,$F$5:F5,F5)=1)</f>
        <v>1</v>
      </c>
      <c r="AD5" s="14">
        <f t="shared" ref="AD5:AD36" si="1">--AND(AA5="OK",OR(TAT_Sel_Basis="All pair instances",AC5=1),OR(TAT_Sel_Corridor="All",E5=TAT_Sel_Corridor),OR(TAT_Sel_DirEff="All",F5=TAT_Sel_DirEff))</f>
        <v>1</v>
      </c>
      <c r="AE5" s="14">
        <f t="shared" ref="AE5:AE36" si="2">--AND(AA5="OK",OR(TAT_Sel_Basis="All pair instances",AC5=1),OR(TAT_Sel_Month="All",TEXT(AB5,"mmm yyyy")=TAT_Sel_Month))</f>
        <v>1</v>
      </c>
      <c r="AF5" s="14">
        <f t="shared" ref="AF5" si="3">AD5*AE5</f>
        <v>1</v>
      </c>
      <c r="AG5" s="14">
        <f>SUMIFS(Routes[Net elevation (m)],Routes[Corridor],E5,Routes[Direction],F5)</f>
        <v>-885</v>
      </c>
      <c r="AH5" s="14">
        <f t="shared" ref="AH5:AH36" si="4">IF(D5="EV",TAT_Kerb_EV,TAT_Kerb_D)+IF(V5="",TAT_Pax_Default,V5)*TAT_Pax_Mass</f>
        <v>16500</v>
      </c>
      <c r="AI5" s="14">
        <f t="shared" ref="AI5:AI36" si="5">IF(X5="",IF(D5="EV",TAT_Acc_EV,TAT_Acc_D),X5)</f>
        <v>0.25</v>
      </c>
      <c r="AJ5" s="14">
        <f t="shared" ref="AJ5:AJ36" si="6">IF(D5="EV",TAT_AuxBase_EV,TAT_AuxBase_D)+TAT_HVAC_k*MAX(0,IF(W5="",TAT_Temp_Default,W5)-TAT_HVAC_Tset)</f>
        <v>8.1</v>
      </c>
      <c r="AK5" s="14">
        <f t="shared" ref="AK5" si="7">SUM(O5:U5)</f>
        <v>305.16658691227974</v>
      </c>
      <c r="AL5" s="14">
        <f t="shared" ref="AL5" si="8">SUM(H5:N5)/60</f>
        <v>5.730673333333332</v>
      </c>
      <c r="AM5" s="14">
        <f t="shared" ref="AM5" si="9">SUM(I5:N5)/60</f>
        <v>5.230673333333332</v>
      </c>
      <c r="AN5" s="14">
        <f t="shared" ref="AN5" si="10">SUM(I5:J5)/60</f>
        <v>0.8224999999999999</v>
      </c>
      <c r="AO5" s="14">
        <f t="shared" ref="AO5" si="11">SUM(K5:N5)/60</f>
        <v>4.4081733333333331</v>
      </c>
      <c r="AP5" s="14">
        <f t="shared" ref="AP5" si="12">IFERROR(SUM(R5:U5)/AO5,0)</f>
        <v>69.11154120244322</v>
      </c>
      <c r="AQ5" s="14">
        <f t="shared" ref="AQ5" si="13">IFERROR(R5/(K5/60),0)</f>
        <v>3.5468984415607832</v>
      </c>
      <c r="AR5" s="14">
        <f t="shared" ref="AR5" si="14">IFERROR(S5/(L5/60),0)</f>
        <v>58.910808477315889</v>
      </c>
      <c r="AS5" s="14">
        <f t="shared" ref="AS5" si="15">IFERROR(T5/(M5/60),0)</f>
        <v>59.250727249478842</v>
      </c>
      <c r="AT5" s="14">
        <f t="shared" ref="AT5" si="16">IFERROR(U5/(N5/60),0)</f>
        <v>79.56115514590762</v>
      </c>
      <c r="AU5" s="14">
        <f t="shared" ref="AU5:AU36" si="17">(IF(D5="EV",TAT_Crr_EV,TAT_Crr_D)*AH5*TAT_G_acc*(AK5-T5)+IF(D5="EV",TAT_Kaero_EV,TAT_Kaero_D)*((AQ5/3.6)^2*R5+(AR5/3.6)^2*S5+(AT5/3.6)^2*U5))/3600</f>
        <v>181.13430357603414</v>
      </c>
      <c r="AV5" s="14">
        <f t="shared" ref="AV5:AV36" si="18">(IF(D5="EV",TAT_Crr_EV,TAT_Crr_D)*AH5*TAT_G_acc+IF(D5="EV",TAT_Kaero_EV,TAT_Kaero_D)*(AS5/3.6)^2)*T5/3600</f>
        <v>24.601255248091672</v>
      </c>
      <c r="AW5" s="14">
        <f t="shared" ref="AW5" si="19">AH5*AI5*S5/3600</f>
        <v>69.103714746491264</v>
      </c>
      <c r="AX5" s="14">
        <f t="shared" ref="AX5:AX36" si="20">AH5*TAT_G_acc*AG5/3600000</f>
        <v>-39.791812499999999</v>
      </c>
      <c r="AY5" s="14">
        <f t="shared" ref="AY5" si="21">AU5+MAX(0,AV5-AW5)</f>
        <v>181.13430357603414</v>
      </c>
      <c r="AZ5" s="14">
        <f t="shared" ref="AZ5:AZ36" si="22">MAX(0,AX5)-TAT_Descent_Share*MAX(0,-AX5)</f>
        <v>-19.895906249999999</v>
      </c>
      <c r="BA5" s="14">
        <f t="shared" ref="BA5:BA36" si="23">MAX(0,AW5-AV5)+(1-TAT_Descent_Share)*MAX(0,-AX5)</f>
        <v>64.398365748399584</v>
      </c>
      <c r="BB5" s="14">
        <f t="shared" ref="BB5" si="24">MAX(0,AY5+AW5+AZ5)</f>
        <v>230.34211207252542</v>
      </c>
      <c r="BC5" s="14">
        <f t="shared" ref="BC5:BC36" si="25">BB5/IF(D5="EV",TAT_EtaPT_EV,TAT_EtaPT_D)</f>
        <v>277.73812271360157</v>
      </c>
      <c r="BD5" s="14">
        <f t="shared" ref="BD5:BD36" si="26">IF(D5="EV",AJ5*AM5,AJ5*AO5/TAT_EtaEng_D)</f>
        <v>42.368453999999986</v>
      </c>
      <c r="BE5" s="14">
        <f t="shared" ref="BE5:BE36" si="27">IF(D5="EV",0,TAT_IdleFuel_D*AN5*TAT_LHV_kWhL)</f>
        <v>0</v>
      </c>
      <c r="BF5" s="14">
        <f t="shared" ref="BF5:BF36" si="28">IF(D5="EV",TAT_Regen_EV*TAT_EtaPT_EV*BA5,0)</f>
        <v>32.045270780061117</v>
      </c>
      <c r="BG5" s="14">
        <f t="shared" ref="BG5" si="29">BC5+BD5+BE5-BF5</f>
        <v>288.06130593354044</v>
      </c>
      <c r="BH5" s="14" t="str">
        <f t="shared" ref="BH5:BH36" si="30">IF(D5="EV",IF(Y5="","",Y5),IF(Z5="","",Z5*TAT_LHV_kWhL))</f>
        <v/>
      </c>
      <c r="BI5" s="14">
        <f t="shared" ref="BI5:BI36" si="31">IF(TAT_Cal_Apply="Yes",IF(D5="EV",TAT_CF_EV,TAT_CF_D),1)</f>
        <v>1</v>
      </c>
      <c r="BJ5" s="14">
        <f t="shared" ref="BJ5" si="32">BG5*BI5</f>
        <v>288.06130593354044</v>
      </c>
      <c r="BK5" s="14">
        <f t="shared" ref="BK5:BK68" si="33">BJ5*3.6</f>
        <v>1037.0207013607455</v>
      </c>
      <c r="BL5" s="14" t="str">
        <f t="shared" ref="BL5:BL36" si="34">IF(D5="EV","",BJ5/TAT_LHV_kWhL)</f>
        <v/>
      </c>
      <c r="BM5" s="14">
        <f t="shared" ref="BM5:BM36" si="35">IF(D5="EV",BJ5/TAT_EtaCharger,"")</f>
        <v>313.11011514515263</v>
      </c>
      <c r="BN5" s="14">
        <f t="shared" ref="BN5" si="36">IFERROR(BJ5/AK5,"")</f>
        <v>0.94394772654564496</v>
      </c>
      <c r="BO5" s="14">
        <f t="shared" ref="BO5" si="37">IFERROR(AK5/BJ5,"")</f>
        <v>1.0593806964920367</v>
      </c>
      <c r="BP5" s="14" t="str">
        <f t="shared" ref="BP5" si="38">IF(D5="EV","",IFERROR(AK5/BL5,""))</f>
        <v/>
      </c>
      <c r="BQ5" s="22">
        <f t="shared" ref="BQ5" si="39">IFERROR(BB5/BJ5,"")</f>
        <v>0.79962878501171697</v>
      </c>
      <c r="BR5" s="14">
        <f t="shared" ref="BR5:BR36" si="40">IF(D5="EV",BM5*TAT_Tariff_EV,BL5*TAT_Price_Diesel)</f>
        <v>2974.5460938789502</v>
      </c>
      <c r="BS5" s="14">
        <f t="shared" ref="BS5:BS36" si="41">IF(D5="EV",BM5*TAT_EF_Grid,BL5*TAT_EF_Diesel)</f>
        <v>222.30818175305836</v>
      </c>
      <c r="BT5" s="14">
        <f t="shared" ref="BT5" si="42">IFERROR(BR5/AK5,"")</f>
        <v>9.7472863067213336</v>
      </c>
      <c r="BU5" s="14">
        <f t="shared" ref="BU5" si="43">IFERROR(BS5/AK5,"")</f>
        <v>0.7284813976602259</v>
      </c>
      <c r="BV5" s="22" t="str">
        <f t="shared" ref="BV5" si="44">IF(AND(ISNUMBER(BH5),BH5&gt;0),BG5/BH5-1,"")</f>
        <v/>
      </c>
      <c r="BW5" s="14">
        <f t="shared" ref="BW5" si="45">IF(AND(AF5=1,D5="EV"),BN5,NA())</f>
        <v>0.94394772654564496</v>
      </c>
      <c r="BX5" s="14" t="e">
        <f t="shared" ref="BX5" si="46">IF(AND(AF5=1,D5="Diesel"),BN5,NA())</f>
        <v>#N/A</v>
      </c>
    </row>
    <row r="6" spans="1:76" x14ac:dyDescent="0.25">
      <c r="A6" s="12" t="s">
        <v>456</v>
      </c>
      <c r="B6" s="12" t="s">
        <v>75</v>
      </c>
      <c r="C6" s="15">
        <v>46232</v>
      </c>
      <c r="D6" s="12" t="s">
        <v>457</v>
      </c>
      <c r="E6" s="12" t="s">
        <v>35</v>
      </c>
      <c r="F6" s="12" t="s">
        <v>55</v>
      </c>
      <c r="G6" s="16">
        <v>0.95709490740740744</v>
      </c>
      <c r="H6" s="14">
        <v>0</v>
      </c>
      <c r="I6" s="14">
        <v>18.100000000000001</v>
      </c>
      <c r="J6" s="14">
        <v>6.6666666666666666E-2</v>
      </c>
      <c r="K6" s="14">
        <v>1.75</v>
      </c>
      <c r="L6" s="14">
        <v>57.690849999999998</v>
      </c>
      <c r="M6" s="14">
        <v>41.383333333333333</v>
      </c>
      <c r="N6" s="14">
        <v>192.51666666666671</v>
      </c>
      <c r="O6" s="14">
        <v>0</v>
      </c>
      <c r="P6" s="14">
        <v>0.2136487015115684</v>
      </c>
      <c r="Q6" s="14">
        <v>0</v>
      </c>
      <c r="R6" s="14">
        <v>0.30731281945969252</v>
      </c>
      <c r="S6" s="14">
        <v>55.580881691351998</v>
      </c>
      <c r="T6" s="14">
        <v>38.88632527176938</v>
      </c>
      <c r="U6" s="14">
        <v>215.4860733436561</v>
      </c>
      <c r="V6" s="18"/>
      <c r="W6" s="18"/>
      <c r="X6" s="18"/>
      <c r="Y6" s="18"/>
      <c r="Z6" s="18"/>
      <c r="AA6" s="14" t="str">
        <f>IF(AND(D6&lt;&gt;"EV",D6&lt;&gt;"Diesel"),"Invalid vehicle",IF(COUNTIFS(Routes[Corridor],E6,Routes[Direction],F6)=0,"Unknown route",IF(C6="","Missing date",IF(SUM(O6:U6)&lt;=0,"No distance","OK"))))</f>
        <v>OK</v>
      </c>
      <c r="AB6" s="17">
        <f t="shared" ref="AB6:AB69" si="47">IF(C6="","",DATE(YEAR(C6),MONTH(C6),1))</f>
        <v>46204</v>
      </c>
      <c r="AC6" s="14">
        <f>--(COUNTIFS($C$5:C6,C6,$D$5:D6,D6,$G$5:G6,G6,$F$5:F6,F6)=1)</f>
        <v>1</v>
      </c>
      <c r="AD6" s="14">
        <f t="shared" si="1"/>
        <v>1</v>
      </c>
      <c r="AE6" s="14">
        <f t="shared" si="2"/>
        <v>1</v>
      </c>
      <c r="AF6" s="14">
        <f t="shared" ref="AF6:AF69" si="48">AD6*AE6</f>
        <v>1</v>
      </c>
      <c r="AG6" s="14">
        <f>SUMIFS(Routes[Net elevation (m)],Routes[Corridor],E6,Routes[Direction],F6)</f>
        <v>-885</v>
      </c>
      <c r="AH6" s="14">
        <f t="shared" si="4"/>
        <v>14500</v>
      </c>
      <c r="AI6" s="14">
        <f t="shared" si="5"/>
        <v>0.25</v>
      </c>
      <c r="AJ6" s="14">
        <f t="shared" si="6"/>
        <v>8.1</v>
      </c>
      <c r="AK6" s="14">
        <f t="shared" ref="AK6:AK69" si="49">SUM(O6:U6)</f>
        <v>310.47424182774876</v>
      </c>
      <c r="AL6" s="14">
        <f t="shared" ref="AL6:AL69" si="50">SUM(H6:N6)/60</f>
        <v>5.1917919444444447</v>
      </c>
      <c r="AM6" s="14">
        <f t="shared" ref="AM6:AM69" si="51">SUM(I6:N6)/60</f>
        <v>5.1917919444444447</v>
      </c>
      <c r="AN6" s="14">
        <f t="shared" ref="AN6:AN69" si="52">SUM(I6:J6)/60</f>
        <v>0.30277777777777781</v>
      </c>
      <c r="AO6" s="14">
        <f t="shared" ref="AO6:AO69" si="53">SUM(K6:N6)/60</f>
        <v>4.8890141666666675</v>
      </c>
      <c r="AP6" s="14">
        <f t="shared" ref="AP6:AP69" si="54">IFERROR(SUM(R6:U6)/AO6,0)</f>
        <v>63.460767866371924</v>
      </c>
      <c r="AQ6" s="14">
        <f t="shared" ref="AQ6:AQ69" si="55">IFERROR(R6/(K6/60),0)</f>
        <v>10.536439524332314</v>
      </c>
      <c r="AR6" s="14">
        <f t="shared" ref="AR6:AR69" si="56">IFERROR(S6/(L6/60),0)</f>
        <v>57.805577513264581</v>
      </c>
      <c r="AS6" s="14">
        <f t="shared" ref="AS6:AS69" si="57">IFERROR(T6/(M6/60),0)</f>
        <v>56.379690285287865</v>
      </c>
      <c r="AT6" s="14">
        <f t="shared" ref="AT6:AT69" si="58">IFERROR(U6/(N6/60),0)</f>
        <v>67.158675788863462</v>
      </c>
      <c r="AU6" s="14">
        <f t="shared" si="17"/>
        <v>153.14629696150286</v>
      </c>
      <c r="AV6" s="14">
        <f t="shared" si="18"/>
        <v>19.086794921633391</v>
      </c>
      <c r="AW6" s="14">
        <f t="shared" ref="AW6:AW69" si="59">AH6*AI6*S6/3600</f>
        <v>55.96686003643083</v>
      </c>
      <c r="AX6" s="14">
        <f t="shared" si="20"/>
        <v>-34.968562499999997</v>
      </c>
      <c r="AY6" s="14">
        <f t="shared" ref="AY6:AY69" si="60">AU6+MAX(0,AV6-AW6)</f>
        <v>153.14629696150286</v>
      </c>
      <c r="AZ6" s="14">
        <f t="shared" si="22"/>
        <v>-17.484281249999999</v>
      </c>
      <c r="BA6" s="14">
        <f t="shared" si="23"/>
        <v>54.364346364797441</v>
      </c>
      <c r="BB6" s="14">
        <f t="shared" ref="BB6:BB69" si="61">MAX(0,AY6+AW6+AZ6)</f>
        <v>191.62887574793368</v>
      </c>
      <c r="BC6" s="14">
        <f t="shared" si="25"/>
        <v>595.12073213643998</v>
      </c>
      <c r="BD6" s="14">
        <f t="shared" si="26"/>
        <v>113.14575642857145</v>
      </c>
      <c r="BE6" s="14">
        <f t="shared" si="27"/>
        <v>7.5484182098765435</v>
      </c>
      <c r="BF6" s="14">
        <f t="shared" si="28"/>
        <v>0</v>
      </c>
      <c r="BG6" s="14">
        <f t="shared" ref="BG6:BG69" si="62">BC6+BD6+BE6-BF6</f>
        <v>715.81490677488796</v>
      </c>
      <c r="BH6" s="14" t="str">
        <f t="shared" si="30"/>
        <v/>
      </c>
      <c r="BI6" s="14">
        <f t="shared" si="31"/>
        <v>1</v>
      </c>
      <c r="BJ6" s="14">
        <f t="shared" ref="BJ6:BJ69" si="63">BG6*BI6</f>
        <v>715.81490677488796</v>
      </c>
      <c r="BK6" s="14">
        <f t="shared" si="33"/>
        <v>2576.9336643895967</v>
      </c>
      <c r="BL6" s="14">
        <f t="shared" si="34"/>
        <v>71.780882016423305</v>
      </c>
      <c r="BM6" s="14" t="str">
        <f t="shared" si="35"/>
        <v/>
      </c>
      <c r="BN6" s="14">
        <f t="shared" ref="BN6:BN69" si="64">IFERROR(BJ6/AK6,"")</f>
        <v>2.3055532805585282</v>
      </c>
      <c r="BO6" s="14">
        <f t="shared" ref="BO6:BO69" si="65">IFERROR(AK6/BJ6,"")</f>
        <v>0.43373536774554461</v>
      </c>
      <c r="BP6" s="14">
        <f t="shared" ref="BP6:BP69" si="66">IF(D6="EV","",IFERROR(AK6/BL6,""))</f>
        <v>4.325305472795848</v>
      </c>
      <c r="BQ6" s="22">
        <f t="shared" ref="BQ6:BQ69" si="67">IFERROR(BB6/BJ6,"")</f>
        <v>0.26770729965839873</v>
      </c>
      <c r="BR6" s="14">
        <f t="shared" si="40"/>
        <v>6603.8411455109444</v>
      </c>
      <c r="BS6" s="14">
        <f t="shared" si="41"/>
        <v>192.37276380401448</v>
      </c>
      <c r="BT6" s="14">
        <f t="shared" ref="BT6:BT69" si="68">IFERROR(BR6/AK6,"")</f>
        <v>21.270173997799013</v>
      </c>
      <c r="BU6" s="14">
        <f t="shared" ref="BU6:BU69" si="69">IFERROR(BS6/AK6,"")</f>
        <v>0.61960941645762346</v>
      </c>
      <c r="BV6" s="22" t="str">
        <f t="shared" ref="BV6:BV69" si="70">IF(AND(ISNUMBER(BH6),BH6&gt;0),BG6/BH6-1,"")</f>
        <v/>
      </c>
      <c r="BW6" s="14" t="e">
        <f t="shared" ref="BW6:BW69" si="71">IF(AND(AF6=1,D6="EV"),BN6,NA())</f>
        <v>#N/A</v>
      </c>
      <c r="BX6" s="14">
        <f t="shared" ref="BX6:BX69" si="72">IF(AND(AF6=1,D6="Diesel"),BN6,NA())</f>
        <v>2.3055532805585282</v>
      </c>
    </row>
    <row r="7" spans="1:76" x14ac:dyDescent="0.25">
      <c r="A7" s="12" t="s">
        <v>458</v>
      </c>
      <c r="B7" s="12" t="s">
        <v>83</v>
      </c>
      <c r="C7" s="15">
        <v>46208</v>
      </c>
      <c r="D7" s="12" t="s">
        <v>300</v>
      </c>
      <c r="E7" s="12" t="s">
        <v>35</v>
      </c>
      <c r="F7" s="12" t="s">
        <v>55</v>
      </c>
      <c r="G7" s="16">
        <v>0.35842592592592593</v>
      </c>
      <c r="H7" s="14">
        <v>30</v>
      </c>
      <c r="I7" s="14">
        <v>23.65</v>
      </c>
      <c r="J7" s="14">
        <v>25.7</v>
      </c>
      <c r="K7" s="14">
        <v>7.6</v>
      </c>
      <c r="L7" s="14">
        <v>61.423733333333331</v>
      </c>
      <c r="M7" s="14">
        <v>45.18333333333333</v>
      </c>
      <c r="N7" s="14">
        <v>150.2833333333333</v>
      </c>
      <c r="O7" s="14">
        <v>0.31331323290921648</v>
      </c>
      <c r="P7" s="14">
        <v>4.1652318794050638E-2</v>
      </c>
      <c r="Q7" s="14">
        <v>0.155968406398383</v>
      </c>
      <c r="R7" s="14">
        <v>0.44927380259769911</v>
      </c>
      <c r="S7" s="14">
        <v>60.301496385496783</v>
      </c>
      <c r="T7" s="14">
        <v>44.619089325926979</v>
      </c>
      <c r="U7" s="14">
        <v>199.22648418736321</v>
      </c>
      <c r="V7" s="18"/>
      <c r="W7" s="18"/>
      <c r="X7" s="18"/>
      <c r="Y7" s="18"/>
      <c r="Z7" s="18"/>
      <c r="AA7" s="14" t="str">
        <f>IF(AND(D7&lt;&gt;"EV",D7&lt;&gt;"Diesel"),"Invalid vehicle",IF(COUNTIFS(Routes[Corridor],E7,Routes[Direction],F7)=0,"Unknown route",IF(C7="","Missing date",IF(SUM(O7:U7)&lt;=0,"No distance","OK"))))</f>
        <v>OK</v>
      </c>
      <c r="AB7" s="17">
        <f t="shared" si="47"/>
        <v>46204</v>
      </c>
      <c r="AC7" s="14">
        <f>--(COUNTIFS($C$5:C7,C7,$D$5:D7,D7,$G$5:G7,G7,$F$5:F7,F7)=1)</f>
        <v>0</v>
      </c>
      <c r="AD7" s="14">
        <f t="shared" si="1"/>
        <v>1</v>
      </c>
      <c r="AE7" s="14">
        <f t="shared" si="2"/>
        <v>1</v>
      </c>
      <c r="AF7" s="14">
        <f t="shared" si="48"/>
        <v>1</v>
      </c>
      <c r="AG7" s="14">
        <f>SUMIFS(Routes[Net elevation (m)],Routes[Corridor],E7,Routes[Direction],F7)</f>
        <v>-885</v>
      </c>
      <c r="AH7" s="14">
        <f t="shared" si="4"/>
        <v>16500</v>
      </c>
      <c r="AI7" s="14">
        <f t="shared" si="5"/>
        <v>0.25</v>
      </c>
      <c r="AJ7" s="14">
        <f t="shared" si="6"/>
        <v>8.1</v>
      </c>
      <c r="AK7" s="14">
        <f t="shared" si="49"/>
        <v>305.10727765948633</v>
      </c>
      <c r="AL7" s="14">
        <f t="shared" si="50"/>
        <v>5.730673333333332</v>
      </c>
      <c r="AM7" s="14">
        <f t="shared" si="51"/>
        <v>5.230673333333332</v>
      </c>
      <c r="AN7" s="14">
        <f t="shared" si="52"/>
        <v>0.8224999999999999</v>
      </c>
      <c r="AO7" s="14">
        <f t="shared" si="53"/>
        <v>4.4081733333333331</v>
      </c>
      <c r="AP7" s="14">
        <f t="shared" si="54"/>
        <v>69.098086819344232</v>
      </c>
      <c r="AQ7" s="14">
        <f t="shared" si="55"/>
        <v>3.5468984415607832</v>
      </c>
      <c r="AR7" s="14">
        <f t="shared" si="56"/>
        <v>58.903775247512478</v>
      </c>
      <c r="AS7" s="14">
        <f t="shared" si="57"/>
        <v>59.250727249478842</v>
      </c>
      <c r="AT7" s="14">
        <f t="shared" si="58"/>
        <v>79.540350790119518</v>
      </c>
      <c r="AU7" s="14">
        <f t="shared" si="17"/>
        <v>181.04390467108166</v>
      </c>
      <c r="AV7" s="14">
        <f t="shared" si="18"/>
        <v>24.601255248091672</v>
      </c>
      <c r="AW7" s="14">
        <f t="shared" si="59"/>
        <v>69.095464608381732</v>
      </c>
      <c r="AX7" s="14">
        <f t="shared" si="20"/>
        <v>-39.791812499999999</v>
      </c>
      <c r="AY7" s="14">
        <f t="shared" si="60"/>
        <v>181.04390467108166</v>
      </c>
      <c r="AZ7" s="14">
        <f t="shared" si="22"/>
        <v>-19.895906249999999</v>
      </c>
      <c r="BA7" s="14">
        <f t="shared" si="23"/>
        <v>64.390115610290053</v>
      </c>
      <c r="BB7" s="14">
        <f t="shared" si="61"/>
        <v>230.24346302946338</v>
      </c>
      <c r="BC7" s="14">
        <f t="shared" si="25"/>
        <v>277.61917529325785</v>
      </c>
      <c r="BD7" s="14">
        <f t="shared" si="26"/>
        <v>42.368453999999986</v>
      </c>
      <c r="BE7" s="14">
        <f t="shared" si="27"/>
        <v>0</v>
      </c>
      <c r="BF7" s="14">
        <f t="shared" si="28"/>
        <v>32.041165428836429</v>
      </c>
      <c r="BG7" s="14">
        <f t="shared" si="62"/>
        <v>287.94646386442139</v>
      </c>
      <c r="BH7" s="14" t="str">
        <f t="shared" si="30"/>
        <v/>
      </c>
      <c r="BI7" s="14">
        <f t="shared" si="31"/>
        <v>1</v>
      </c>
      <c r="BJ7" s="14">
        <f t="shared" si="63"/>
        <v>287.94646386442139</v>
      </c>
      <c r="BK7" s="14">
        <f t="shared" si="33"/>
        <v>1036.607269911917</v>
      </c>
      <c r="BL7" s="14" t="str">
        <f t="shared" si="34"/>
        <v/>
      </c>
      <c r="BM7" s="14">
        <f t="shared" si="35"/>
        <v>312.98528680915365</v>
      </c>
      <c r="BN7" s="14">
        <f t="shared" si="64"/>
        <v>0.94375481985645326</v>
      </c>
      <c r="BO7" s="14">
        <f t="shared" si="65"/>
        <v>1.0595972375029583</v>
      </c>
      <c r="BP7" s="14" t="str">
        <f t="shared" si="66"/>
        <v/>
      </c>
      <c r="BQ7" s="22">
        <f t="shared" si="67"/>
        <v>0.79960510693360254</v>
      </c>
      <c r="BR7" s="14">
        <f t="shared" si="40"/>
        <v>2973.3602246869596</v>
      </c>
      <c r="BS7" s="14">
        <f t="shared" si="41"/>
        <v>222.21955363449908</v>
      </c>
      <c r="BT7" s="14">
        <f t="shared" si="68"/>
        <v>9.7452943354742434</v>
      </c>
      <c r="BU7" s="14">
        <f t="shared" si="69"/>
        <v>0.72833252401965398</v>
      </c>
      <c r="BV7" s="22" t="str">
        <f t="shared" si="70"/>
        <v/>
      </c>
      <c r="BW7" s="14">
        <f t="shared" si="71"/>
        <v>0.94375481985645326</v>
      </c>
      <c r="BX7" s="14" t="e">
        <f t="shared" si="72"/>
        <v>#N/A</v>
      </c>
    </row>
    <row r="8" spans="1:76" x14ac:dyDescent="0.25">
      <c r="A8" s="12" t="s">
        <v>459</v>
      </c>
      <c r="B8" s="12" t="s">
        <v>83</v>
      </c>
      <c r="C8" s="15">
        <v>46270</v>
      </c>
      <c r="D8" s="12" t="s">
        <v>457</v>
      </c>
      <c r="E8" s="12" t="s">
        <v>35</v>
      </c>
      <c r="F8" s="12" t="s">
        <v>55</v>
      </c>
      <c r="G8" s="16">
        <v>0.96938657407407403</v>
      </c>
      <c r="H8" s="14">
        <v>0</v>
      </c>
      <c r="I8" s="14">
        <v>16.43333333333333</v>
      </c>
      <c r="J8" s="14">
        <v>6.9833333333333334</v>
      </c>
      <c r="K8" s="14">
        <v>5</v>
      </c>
      <c r="L8" s="14">
        <v>60.018216666666667</v>
      </c>
      <c r="M8" s="14">
        <v>42.633333333333333</v>
      </c>
      <c r="N8" s="14">
        <v>167.95</v>
      </c>
      <c r="O8" s="14">
        <v>0</v>
      </c>
      <c r="P8" s="14">
        <v>8.3882197240028836E-2</v>
      </c>
      <c r="Q8" s="14">
        <v>3.091495950618035E-2</v>
      </c>
      <c r="R8" s="14">
        <v>0.2309310830082773</v>
      </c>
      <c r="S8" s="14">
        <v>57.928893825091471</v>
      </c>
      <c r="T8" s="14">
        <v>43.162925395186832</v>
      </c>
      <c r="U8" s="14">
        <v>203.77852793806281</v>
      </c>
      <c r="V8" s="18"/>
      <c r="W8" s="18"/>
      <c r="X8" s="18"/>
      <c r="Y8" s="18"/>
      <c r="Z8" s="18"/>
      <c r="AA8" s="14" t="str">
        <f>IF(AND(D8&lt;&gt;"EV",D8&lt;&gt;"Diesel"),"Invalid vehicle",IF(COUNTIFS(Routes[Corridor],E8,Routes[Direction],F8)=0,"Unknown route",IF(C8="","Missing date",IF(SUM(O8:U8)&lt;=0,"No distance","OK"))))</f>
        <v>OK</v>
      </c>
      <c r="AB8" s="17">
        <f t="shared" si="47"/>
        <v>46266</v>
      </c>
      <c r="AC8" s="14">
        <f>--(COUNTIFS($C$5:C8,C8,$D$5:D8,D8,$G$5:G8,G8,$F$5:F8,F8)=1)</f>
        <v>1</v>
      </c>
      <c r="AD8" s="14">
        <f t="shared" si="1"/>
        <v>1</v>
      </c>
      <c r="AE8" s="14">
        <f t="shared" si="2"/>
        <v>1</v>
      </c>
      <c r="AF8" s="14">
        <f t="shared" si="48"/>
        <v>1</v>
      </c>
      <c r="AG8" s="14">
        <f>SUMIFS(Routes[Net elevation (m)],Routes[Corridor],E8,Routes[Direction],F8)</f>
        <v>-885</v>
      </c>
      <c r="AH8" s="14">
        <f t="shared" si="4"/>
        <v>14500</v>
      </c>
      <c r="AI8" s="14">
        <f t="shared" si="5"/>
        <v>0.25</v>
      </c>
      <c r="AJ8" s="14">
        <f t="shared" si="6"/>
        <v>8.1</v>
      </c>
      <c r="AK8" s="14">
        <f t="shared" si="49"/>
        <v>305.2160753980956</v>
      </c>
      <c r="AL8" s="14">
        <f t="shared" si="50"/>
        <v>4.9836369444444442</v>
      </c>
      <c r="AM8" s="14">
        <f t="shared" si="51"/>
        <v>4.9836369444444442</v>
      </c>
      <c r="AN8" s="14">
        <f t="shared" si="52"/>
        <v>0.39027777777777772</v>
      </c>
      <c r="AO8" s="14">
        <f t="shared" si="53"/>
        <v>4.5933591666666667</v>
      </c>
      <c r="AP8" s="14">
        <f t="shared" si="54"/>
        <v>66.42225595059594</v>
      </c>
      <c r="AQ8" s="14">
        <f t="shared" si="55"/>
        <v>2.7711729960993279</v>
      </c>
      <c r="AR8" s="14">
        <f t="shared" si="56"/>
        <v>57.91131130751949</v>
      </c>
      <c r="AS8" s="14">
        <f t="shared" si="57"/>
        <v>60.745321119105789</v>
      </c>
      <c r="AT8" s="14">
        <f t="shared" si="58"/>
        <v>72.799712273198992</v>
      </c>
      <c r="AU8" s="14">
        <f t="shared" si="17"/>
        <v>158.36836511387432</v>
      </c>
      <c r="AV8" s="14">
        <f t="shared" si="18"/>
        <v>22.67347902133784</v>
      </c>
      <c r="AW8" s="14">
        <f t="shared" si="59"/>
        <v>58.331177809987935</v>
      </c>
      <c r="AX8" s="14">
        <f t="shared" si="20"/>
        <v>-34.968562499999997</v>
      </c>
      <c r="AY8" s="14">
        <f t="shared" si="60"/>
        <v>158.36836511387432</v>
      </c>
      <c r="AZ8" s="14">
        <f t="shared" si="22"/>
        <v>-17.484281249999999</v>
      </c>
      <c r="BA8" s="14">
        <f t="shared" si="23"/>
        <v>53.14198003865009</v>
      </c>
      <c r="BB8" s="14">
        <f t="shared" si="61"/>
        <v>199.21526167386224</v>
      </c>
      <c r="BC8" s="14">
        <f t="shared" si="25"/>
        <v>618.68093687534861</v>
      </c>
      <c r="BD8" s="14">
        <f t="shared" si="26"/>
        <v>106.30345500000001</v>
      </c>
      <c r="BE8" s="14">
        <f t="shared" si="27"/>
        <v>9.7298418209876516</v>
      </c>
      <c r="BF8" s="14">
        <f t="shared" si="28"/>
        <v>0</v>
      </c>
      <c r="BG8" s="14">
        <f t="shared" si="62"/>
        <v>734.71423369633624</v>
      </c>
      <c r="BH8" s="14" t="str">
        <f t="shared" si="30"/>
        <v/>
      </c>
      <c r="BI8" s="14">
        <f t="shared" si="31"/>
        <v>1</v>
      </c>
      <c r="BJ8" s="14">
        <f t="shared" si="63"/>
        <v>734.71423369633624</v>
      </c>
      <c r="BK8" s="14">
        <f t="shared" si="33"/>
        <v>2644.9712413068105</v>
      </c>
      <c r="BL8" s="14">
        <f t="shared" si="34"/>
        <v>73.67607914503651</v>
      </c>
      <c r="BM8" s="14" t="str">
        <f t="shared" si="35"/>
        <v/>
      </c>
      <c r="BN8" s="14">
        <f t="shared" si="64"/>
        <v>2.4071937650664141</v>
      </c>
      <c r="BO8" s="14">
        <f t="shared" si="65"/>
        <v>0.41542148144123753</v>
      </c>
      <c r="BP8" s="14">
        <f t="shared" si="66"/>
        <v>4.142675328816785</v>
      </c>
      <c r="BQ8" s="22">
        <f t="shared" si="67"/>
        <v>0.2711465935151593</v>
      </c>
      <c r="BR8" s="14">
        <f t="shared" si="40"/>
        <v>6778.199281343359</v>
      </c>
      <c r="BS8" s="14">
        <f t="shared" si="41"/>
        <v>197.45189210869785</v>
      </c>
      <c r="BT8" s="14">
        <f t="shared" si="68"/>
        <v>22.207871169637784</v>
      </c>
      <c r="BU8" s="14">
        <f t="shared" si="69"/>
        <v>0.64692494276770929</v>
      </c>
      <c r="BV8" s="22" t="str">
        <f t="shared" si="70"/>
        <v/>
      </c>
      <c r="BW8" s="14" t="e">
        <f t="shared" si="71"/>
        <v>#N/A</v>
      </c>
      <c r="BX8" s="14">
        <f t="shared" si="72"/>
        <v>2.4071937650664141</v>
      </c>
    </row>
    <row r="9" spans="1:76" x14ac:dyDescent="0.25">
      <c r="A9" s="12" t="s">
        <v>460</v>
      </c>
      <c r="B9" s="12" t="s">
        <v>87</v>
      </c>
      <c r="C9" s="15">
        <v>46213</v>
      </c>
      <c r="D9" s="12" t="s">
        <v>300</v>
      </c>
      <c r="E9" s="12" t="s">
        <v>35</v>
      </c>
      <c r="F9" s="12" t="s">
        <v>50</v>
      </c>
      <c r="G9" s="16">
        <v>1.6851851851851851E-2</v>
      </c>
      <c r="H9" s="14">
        <v>38.333333333333343</v>
      </c>
      <c r="I9" s="14">
        <v>10.56666666666667</v>
      </c>
      <c r="J9" s="14">
        <v>0</v>
      </c>
      <c r="K9" s="14">
        <v>0.66666666666666663</v>
      </c>
      <c r="L9" s="14">
        <v>49.31666666666667</v>
      </c>
      <c r="M9" s="14">
        <v>44.583333333333343</v>
      </c>
      <c r="N9" s="14">
        <v>202.15</v>
      </c>
      <c r="O9" s="14">
        <v>0.32207239596471771</v>
      </c>
      <c r="P9" s="14">
        <v>0.46962669093374088</v>
      </c>
      <c r="Q9" s="14">
        <v>0</v>
      </c>
      <c r="R9" s="14">
        <v>0.26467880112010561</v>
      </c>
      <c r="S9" s="14">
        <v>46.828639184274387</v>
      </c>
      <c r="T9" s="14">
        <v>41.953809708617477</v>
      </c>
      <c r="U9" s="14">
        <v>230.50068292981709</v>
      </c>
      <c r="V9" s="18"/>
      <c r="W9" s="18"/>
      <c r="X9" s="18"/>
      <c r="Y9" s="18"/>
      <c r="Z9" s="18"/>
      <c r="AA9" s="14" t="str">
        <f>IF(AND(D9&lt;&gt;"EV",D9&lt;&gt;"Diesel"),"Invalid vehicle",IF(COUNTIFS(Routes[Corridor],E9,Routes[Direction],F9)=0,"Unknown route",IF(C9="","Missing date",IF(SUM(O9:U9)&lt;=0,"No distance","OK"))))</f>
        <v>OK</v>
      </c>
      <c r="AB9" s="17">
        <f t="shared" si="47"/>
        <v>46204</v>
      </c>
      <c r="AC9" s="14">
        <f>--(COUNTIFS($C$5:C9,C9,$D$5:D9,D9,$G$5:G9,G9,$F$5:F9,F9)=1)</f>
        <v>1</v>
      </c>
      <c r="AD9" s="14">
        <f t="shared" si="1"/>
        <v>1</v>
      </c>
      <c r="AE9" s="14">
        <f t="shared" si="2"/>
        <v>1</v>
      </c>
      <c r="AF9" s="14">
        <f t="shared" si="48"/>
        <v>1</v>
      </c>
      <c r="AG9" s="14">
        <f>SUMIFS(Routes[Net elevation (m)],Routes[Corridor],E9,Routes[Direction],F9)</f>
        <v>885</v>
      </c>
      <c r="AH9" s="14">
        <f t="shared" si="4"/>
        <v>16500</v>
      </c>
      <c r="AI9" s="14">
        <f t="shared" si="5"/>
        <v>0.25</v>
      </c>
      <c r="AJ9" s="14">
        <f t="shared" si="6"/>
        <v>8.1</v>
      </c>
      <c r="AK9" s="14">
        <f t="shared" si="49"/>
        <v>320.3395097107275</v>
      </c>
      <c r="AL9" s="14">
        <f t="shared" si="50"/>
        <v>5.7602777777777776</v>
      </c>
      <c r="AM9" s="14">
        <f t="shared" si="51"/>
        <v>5.1213888888888892</v>
      </c>
      <c r="AN9" s="14">
        <f t="shared" si="52"/>
        <v>0.17611111111111116</v>
      </c>
      <c r="AO9" s="14">
        <f t="shared" si="53"/>
        <v>4.9452777777777781</v>
      </c>
      <c r="AP9" s="14">
        <f t="shared" si="54"/>
        <v>64.616756627859601</v>
      </c>
      <c r="AQ9" s="14">
        <f t="shared" si="55"/>
        <v>23.821092100809508</v>
      </c>
      <c r="AR9" s="14">
        <f t="shared" si="56"/>
        <v>56.972997993709967</v>
      </c>
      <c r="AS9" s="14">
        <f t="shared" si="57"/>
        <v>56.461201850849676</v>
      </c>
      <c r="AT9" s="14">
        <f t="shared" si="58"/>
        <v>68.414746355622185</v>
      </c>
      <c r="AU9" s="14">
        <f t="shared" si="17"/>
        <v>170.59200807832528</v>
      </c>
      <c r="AV9" s="14">
        <f t="shared" si="18"/>
        <v>22.218972805920622</v>
      </c>
      <c r="AW9" s="14">
        <f t="shared" si="59"/>
        <v>53.657815731981067</v>
      </c>
      <c r="AX9" s="14">
        <f t="shared" si="20"/>
        <v>39.791812499999999</v>
      </c>
      <c r="AY9" s="14">
        <f t="shared" si="60"/>
        <v>170.59200807832528</v>
      </c>
      <c r="AZ9" s="14">
        <f t="shared" si="22"/>
        <v>39.791812499999999</v>
      </c>
      <c r="BA9" s="14">
        <f t="shared" si="23"/>
        <v>31.438842926060445</v>
      </c>
      <c r="BB9" s="14">
        <f t="shared" si="61"/>
        <v>264.04163631030633</v>
      </c>
      <c r="BC9" s="14">
        <f t="shared" si="25"/>
        <v>318.37178068403733</v>
      </c>
      <c r="BD9" s="14">
        <f t="shared" si="26"/>
        <v>41.483249999999998</v>
      </c>
      <c r="BE9" s="14">
        <f t="shared" si="27"/>
        <v>0</v>
      </c>
      <c r="BF9" s="14">
        <f t="shared" si="28"/>
        <v>15.644282628436937</v>
      </c>
      <c r="BG9" s="14">
        <f t="shared" si="62"/>
        <v>344.21074805560039</v>
      </c>
      <c r="BH9" s="14" t="str">
        <f t="shared" si="30"/>
        <v/>
      </c>
      <c r="BI9" s="14">
        <f t="shared" si="31"/>
        <v>1</v>
      </c>
      <c r="BJ9" s="14">
        <f t="shared" si="63"/>
        <v>344.21074805560039</v>
      </c>
      <c r="BK9" s="14">
        <f t="shared" si="33"/>
        <v>1239.1586930001615</v>
      </c>
      <c r="BL9" s="14" t="str">
        <f t="shared" si="34"/>
        <v/>
      </c>
      <c r="BM9" s="14">
        <f t="shared" si="35"/>
        <v>374.14211745173952</v>
      </c>
      <c r="BN9" s="14">
        <f t="shared" si="64"/>
        <v>1.074518558033722</v>
      </c>
      <c r="BO9" s="14">
        <f t="shared" si="65"/>
        <v>0.93064935223633116</v>
      </c>
      <c r="BP9" s="14" t="str">
        <f t="shared" si="66"/>
        <v/>
      </c>
      <c r="BQ9" s="22">
        <f t="shared" si="67"/>
        <v>0.76709294466207567</v>
      </c>
      <c r="BR9" s="14">
        <f t="shared" si="40"/>
        <v>3554.3501157915252</v>
      </c>
      <c r="BS9" s="14">
        <f t="shared" si="41"/>
        <v>265.64090339073505</v>
      </c>
      <c r="BT9" s="14">
        <f t="shared" si="68"/>
        <v>11.095572066652561</v>
      </c>
      <c r="BU9" s="14">
        <f t="shared" si="69"/>
        <v>0.82924801761298095</v>
      </c>
      <c r="BV9" s="22" t="str">
        <f t="shared" si="70"/>
        <v/>
      </c>
      <c r="BW9" s="14">
        <f t="shared" si="71"/>
        <v>1.074518558033722</v>
      </c>
      <c r="BX9" s="14" t="e">
        <f t="shared" si="72"/>
        <v>#N/A</v>
      </c>
    </row>
    <row r="10" spans="1:76" x14ac:dyDescent="0.25">
      <c r="A10" s="12" t="s">
        <v>461</v>
      </c>
      <c r="B10" s="12" t="s">
        <v>87</v>
      </c>
      <c r="C10" s="15">
        <v>46234</v>
      </c>
      <c r="D10" s="12" t="s">
        <v>457</v>
      </c>
      <c r="E10" s="12" t="s">
        <v>35</v>
      </c>
      <c r="F10" s="12" t="s">
        <v>50</v>
      </c>
      <c r="G10" s="16">
        <v>0.97584490740740737</v>
      </c>
      <c r="H10" s="14">
        <v>0</v>
      </c>
      <c r="I10" s="14">
        <v>35.983333333333327</v>
      </c>
      <c r="J10" s="14">
        <v>0.35</v>
      </c>
      <c r="K10" s="14">
        <v>4.083333333333333</v>
      </c>
      <c r="L10" s="14">
        <v>62.087049999999998</v>
      </c>
      <c r="M10" s="14">
        <v>50.533333333333331</v>
      </c>
      <c r="N10" s="14">
        <v>205.36038333333329</v>
      </c>
      <c r="O10" s="14">
        <v>0</v>
      </c>
      <c r="P10" s="14">
        <v>0.34734042341449439</v>
      </c>
      <c r="Q10" s="14">
        <v>0</v>
      </c>
      <c r="R10" s="14">
        <v>0.43740140315438419</v>
      </c>
      <c r="S10" s="14">
        <v>58.410381444501432</v>
      </c>
      <c r="T10" s="14">
        <v>47.464359459883809</v>
      </c>
      <c r="U10" s="14">
        <v>214.02953530309489</v>
      </c>
      <c r="V10" s="18"/>
      <c r="W10" s="18"/>
      <c r="X10" s="18"/>
      <c r="Y10" s="18"/>
      <c r="Z10" s="18"/>
      <c r="AA10" s="14" t="str">
        <f>IF(AND(D10&lt;&gt;"EV",D10&lt;&gt;"Diesel"),"Invalid vehicle",IF(COUNTIFS(Routes[Corridor],E10,Routes[Direction],F10)=0,"Unknown route",IF(C10="","Missing date",IF(SUM(O10:U10)&lt;=0,"No distance","OK"))))</f>
        <v>OK</v>
      </c>
      <c r="AB10" s="17">
        <f t="shared" si="47"/>
        <v>46204</v>
      </c>
      <c r="AC10" s="14">
        <f>--(COUNTIFS($C$5:C10,C10,$D$5:D10,D10,$G$5:G10,G10,$F$5:F10,F10)=1)</f>
        <v>1</v>
      </c>
      <c r="AD10" s="14">
        <f t="shared" si="1"/>
        <v>1</v>
      </c>
      <c r="AE10" s="14">
        <f t="shared" si="2"/>
        <v>1</v>
      </c>
      <c r="AF10" s="14">
        <f t="shared" si="48"/>
        <v>1</v>
      </c>
      <c r="AG10" s="14">
        <f>SUMIFS(Routes[Net elevation (m)],Routes[Corridor],E10,Routes[Direction],F10)</f>
        <v>885</v>
      </c>
      <c r="AH10" s="14">
        <f t="shared" si="4"/>
        <v>14500</v>
      </c>
      <c r="AI10" s="14">
        <f t="shared" si="5"/>
        <v>0.25</v>
      </c>
      <c r="AJ10" s="14">
        <f t="shared" si="6"/>
        <v>8.1</v>
      </c>
      <c r="AK10" s="14">
        <f t="shared" si="49"/>
        <v>320.68901803404901</v>
      </c>
      <c r="AL10" s="14">
        <f t="shared" si="50"/>
        <v>5.9732905555555549</v>
      </c>
      <c r="AM10" s="14">
        <f t="shared" si="51"/>
        <v>5.9732905555555549</v>
      </c>
      <c r="AN10" s="14">
        <f t="shared" si="52"/>
        <v>0.60555555555555551</v>
      </c>
      <c r="AO10" s="14">
        <f t="shared" si="53"/>
        <v>5.3677349999999988</v>
      </c>
      <c r="AP10" s="14">
        <f t="shared" si="54"/>
        <v>59.679115606607738</v>
      </c>
      <c r="AQ10" s="14">
        <f t="shared" si="55"/>
        <v>6.4271226585950334</v>
      </c>
      <c r="AR10" s="14">
        <f t="shared" si="56"/>
        <v>56.446922291687009</v>
      </c>
      <c r="AS10" s="14">
        <f t="shared" si="57"/>
        <v>56.356099622553337</v>
      </c>
      <c r="AT10" s="14">
        <f t="shared" si="58"/>
        <v>62.532860085975827</v>
      </c>
      <c r="AU10" s="14">
        <f t="shared" si="17"/>
        <v>144.52669157292866</v>
      </c>
      <c r="AV10" s="14">
        <f t="shared" si="18"/>
        <v>23.288691677298274</v>
      </c>
      <c r="AW10" s="14">
        <f t="shared" si="59"/>
        <v>58.816009093421584</v>
      </c>
      <c r="AX10" s="14">
        <f t="shared" si="20"/>
        <v>34.968562499999997</v>
      </c>
      <c r="AY10" s="14">
        <f t="shared" si="60"/>
        <v>144.52669157292866</v>
      </c>
      <c r="AZ10" s="14">
        <f t="shared" si="22"/>
        <v>34.968562499999997</v>
      </c>
      <c r="BA10" s="14">
        <f t="shared" si="23"/>
        <v>35.52731741612331</v>
      </c>
      <c r="BB10" s="14">
        <f t="shared" si="61"/>
        <v>238.31126316635024</v>
      </c>
      <c r="BC10" s="14">
        <f t="shared" si="25"/>
        <v>740.09709057872749</v>
      </c>
      <c r="BD10" s="14">
        <f t="shared" si="26"/>
        <v>124.22472428571426</v>
      </c>
      <c r="BE10" s="14">
        <f t="shared" si="27"/>
        <v>15.096836419753085</v>
      </c>
      <c r="BF10" s="14">
        <f t="shared" si="28"/>
        <v>0</v>
      </c>
      <c r="BG10" s="14">
        <f t="shared" si="62"/>
        <v>879.41865128419488</v>
      </c>
      <c r="BH10" s="14" t="str">
        <f t="shared" si="30"/>
        <v/>
      </c>
      <c r="BI10" s="14">
        <f t="shared" si="31"/>
        <v>1</v>
      </c>
      <c r="BJ10" s="14">
        <f t="shared" si="63"/>
        <v>879.41865128419488</v>
      </c>
      <c r="BK10" s="14">
        <f t="shared" si="33"/>
        <v>3165.9071446231014</v>
      </c>
      <c r="BL10" s="14">
        <f t="shared" si="34"/>
        <v>88.186828541033478</v>
      </c>
      <c r="BM10" s="14" t="str">
        <f t="shared" si="35"/>
        <v/>
      </c>
      <c r="BN10" s="14">
        <f t="shared" si="64"/>
        <v>2.7422786619740842</v>
      </c>
      <c r="BO10" s="14">
        <f t="shared" si="65"/>
        <v>0.36466024181515161</v>
      </c>
      <c r="BP10" s="14">
        <f t="shared" si="66"/>
        <v>3.636472966989984</v>
      </c>
      <c r="BQ10" s="22">
        <f t="shared" si="67"/>
        <v>0.2709872741706692</v>
      </c>
      <c r="BR10" s="14">
        <f t="shared" si="40"/>
        <v>8113.1882257750804</v>
      </c>
      <c r="BS10" s="14">
        <f t="shared" si="41"/>
        <v>236.34070048996975</v>
      </c>
      <c r="BT10" s="14">
        <f t="shared" si="68"/>
        <v>25.299239355036679</v>
      </c>
      <c r="BU10" s="14">
        <f t="shared" si="69"/>
        <v>0.7369778420815033</v>
      </c>
      <c r="BV10" s="22" t="str">
        <f t="shared" si="70"/>
        <v/>
      </c>
      <c r="BW10" s="14" t="e">
        <f t="shared" si="71"/>
        <v>#N/A</v>
      </c>
      <c r="BX10" s="14">
        <f t="shared" si="72"/>
        <v>2.7422786619740842</v>
      </c>
    </row>
    <row r="11" spans="1:76" x14ac:dyDescent="0.25">
      <c r="A11" s="12" t="s">
        <v>462</v>
      </c>
      <c r="B11" s="12" t="s">
        <v>95</v>
      </c>
      <c r="C11" s="15">
        <v>46218</v>
      </c>
      <c r="D11" s="12" t="s">
        <v>300</v>
      </c>
      <c r="E11" s="12" t="s">
        <v>29</v>
      </c>
      <c r="F11" s="12" t="s">
        <v>41</v>
      </c>
      <c r="G11" s="16">
        <v>0.39075231481481482</v>
      </c>
      <c r="H11" s="14">
        <v>0</v>
      </c>
      <c r="I11" s="14">
        <v>25.883333333333329</v>
      </c>
      <c r="J11" s="14">
        <v>8.15</v>
      </c>
      <c r="K11" s="14">
        <v>8.0166666666666675</v>
      </c>
      <c r="L11" s="14">
        <v>55.883333333333333</v>
      </c>
      <c r="M11" s="14">
        <v>40.116666666666667</v>
      </c>
      <c r="N11" s="14">
        <v>102.3936333333333</v>
      </c>
      <c r="O11" s="14">
        <v>0</v>
      </c>
      <c r="P11" s="14">
        <v>0.35568686098748031</v>
      </c>
      <c r="Q11" s="14">
        <v>0.57585003194744566</v>
      </c>
      <c r="R11" s="14">
        <v>0.62657519758941227</v>
      </c>
      <c r="S11" s="14">
        <v>44.777394576317398</v>
      </c>
      <c r="T11" s="14">
        <v>31.030770141318762</v>
      </c>
      <c r="U11" s="14">
        <v>70.832492215617009</v>
      </c>
      <c r="V11" s="18"/>
      <c r="W11" s="18"/>
      <c r="X11" s="18"/>
      <c r="Y11" s="18"/>
      <c r="Z11" s="18"/>
      <c r="AA11" s="14" t="str">
        <f>IF(AND(D11&lt;&gt;"EV",D11&lt;&gt;"Diesel"),"Invalid vehicle",IF(COUNTIFS(Routes[Corridor],E11,Routes[Direction],F11)=0,"Unknown route",IF(C11="","Missing date",IF(SUM(O11:U11)&lt;=0,"No distance","OK"))))</f>
        <v>OK</v>
      </c>
      <c r="AB11" s="17">
        <f t="shared" si="47"/>
        <v>46204</v>
      </c>
      <c r="AC11" s="14">
        <f>--(COUNTIFS($C$5:C11,C11,$D$5:D11,D11,$G$5:G11,G11,$F$5:F11,F11)=1)</f>
        <v>1</v>
      </c>
      <c r="AD11" s="14">
        <f t="shared" si="1"/>
        <v>0</v>
      </c>
      <c r="AE11" s="14">
        <f t="shared" si="2"/>
        <v>1</v>
      </c>
      <c r="AF11" s="14">
        <f t="shared" si="48"/>
        <v>0</v>
      </c>
      <c r="AG11" s="14">
        <f>SUMIFS(Routes[Net elevation (m)],Routes[Corridor],E11,Routes[Direction],F11)</f>
        <v>-5</v>
      </c>
      <c r="AH11" s="14">
        <f t="shared" si="4"/>
        <v>16500</v>
      </c>
      <c r="AI11" s="14">
        <f t="shared" si="5"/>
        <v>0.25</v>
      </c>
      <c r="AJ11" s="14">
        <f t="shared" si="6"/>
        <v>8.1</v>
      </c>
      <c r="AK11" s="14">
        <f t="shared" si="49"/>
        <v>148.19876902377752</v>
      </c>
      <c r="AL11" s="14">
        <f t="shared" si="50"/>
        <v>4.0073938888888883</v>
      </c>
      <c r="AM11" s="14">
        <f t="shared" si="51"/>
        <v>4.0073938888888883</v>
      </c>
      <c r="AN11" s="14">
        <f t="shared" si="52"/>
        <v>0.56722222222222218</v>
      </c>
      <c r="AO11" s="14">
        <f t="shared" si="53"/>
        <v>3.4401716666666657</v>
      </c>
      <c r="AP11" s="14">
        <f t="shared" si="54"/>
        <v>42.80810564129095</v>
      </c>
      <c r="AQ11" s="14">
        <f t="shared" si="55"/>
        <v>4.6895440983822949</v>
      </c>
      <c r="AR11" s="14">
        <f t="shared" si="56"/>
        <v>48.075938107588016</v>
      </c>
      <c r="AS11" s="14">
        <f t="shared" si="57"/>
        <v>46.41079040662548</v>
      </c>
      <c r="AT11" s="14">
        <f t="shared" si="58"/>
        <v>41.505994021148666</v>
      </c>
      <c r="AU11" s="14">
        <f t="shared" si="17"/>
        <v>52.078574257514255</v>
      </c>
      <c r="AV11" s="14">
        <f t="shared" si="18"/>
        <v>14.271623851662238</v>
      </c>
      <c r="AW11" s="14">
        <f t="shared" si="59"/>
        <v>51.307431285363684</v>
      </c>
      <c r="AX11" s="14">
        <f t="shared" si="20"/>
        <v>-0.2248125</v>
      </c>
      <c r="AY11" s="14">
        <f t="shared" si="60"/>
        <v>52.078574257514255</v>
      </c>
      <c r="AZ11" s="14">
        <f t="shared" si="22"/>
        <v>-0.11240625</v>
      </c>
      <c r="BA11" s="14">
        <f t="shared" si="23"/>
        <v>37.148213683701449</v>
      </c>
      <c r="BB11" s="14">
        <f t="shared" si="61"/>
        <v>103.27359929287793</v>
      </c>
      <c r="BC11" s="14">
        <f t="shared" si="25"/>
        <v>124.52354168068722</v>
      </c>
      <c r="BD11" s="14">
        <f t="shared" si="26"/>
        <v>32.459890499999993</v>
      </c>
      <c r="BE11" s="14">
        <f t="shared" si="27"/>
        <v>0</v>
      </c>
      <c r="BF11" s="14">
        <f t="shared" si="28"/>
        <v>18.485322611146675</v>
      </c>
      <c r="BG11" s="14">
        <f t="shared" si="62"/>
        <v>138.49810956954053</v>
      </c>
      <c r="BH11" s="14" t="str">
        <f t="shared" si="30"/>
        <v/>
      </c>
      <c r="BI11" s="14">
        <f t="shared" si="31"/>
        <v>1</v>
      </c>
      <c r="BJ11" s="14">
        <f t="shared" si="63"/>
        <v>138.49810956954053</v>
      </c>
      <c r="BK11" s="14">
        <f t="shared" si="33"/>
        <v>498.59319445034595</v>
      </c>
      <c r="BL11" s="14" t="str">
        <f t="shared" si="34"/>
        <v/>
      </c>
      <c r="BM11" s="14">
        <f t="shared" si="35"/>
        <v>150.54142344515276</v>
      </c>
      <c r="BN11" s="14">
        <f t="shared" si="64"/>
        <v>0.93454291477494944</v>
      </c>
      <c r="BO11" s="14">
        <f t="shared" si="65"/>
        <v>1.0700418185084775</v>
      </c>
      <c r="BP11" s="14" t="str">
        <f t="shared" si="66"/>
        <v/>
      </c>
      <c r="BQ11" s="22">
        <f t="shared" si="67"/>
        <v>0.74566793448558799</v>
      </c>
      <c r="BR11" s="14">
        <f t="shared" si="40"/>
        <v>1430.1435227289512</v>
      </c>
      <c r="BS11" s="14">
        <f t="shared" si="41"/>
        <v>106.88441064605846</v>
      </c>
      <c r="BT11" s="14">
        <f t="shared" si="68"/>
        <v>9.6501714025674126</v>
      </c>
      <c r="BU11" s="14">
        <f t="shared" si="69"/>
        <v>0.72122333640240666</v>
      </c>
      <c r="BV11" s="22" t="str">
        <f t="shared" si="70"/>
        <v/>
      </c>
      <c r="BW11" s="14" t="e">
        <f t="shared" si="71"/>
        <v>#N/A</v>
      </c>
      <c r="BX11" s="14" t="e">
        <f t="shared" si="72"/>
        <v>#N/A</v>
      </c>
    </row>
    <row r="12" spans="1:76" x14ac:dyDescent="0.25">
      <c r="A12" s="12" t="s">
        <v>463</v>
      </c>
      <c r="B12" s="12" t="s">
        <v>95</v>
      </c>
      <c r="C12" s="15">
        <v>46218</v>
      </c>
      <c r="D12" s="12" t="s">
        <v>457</v>
      </c>
      <c r="E12" s="12" t="s">
        <v>29</v>
      </c>
      <c r="F12" s="12" t="s">
        <v>41</v>
      </c>
      <c r="G12" s="16">
        <v>0.47248842592592594</v>
      </c>
      <c r="H12" s="14">
        <v>0</v>
      </c>
      <c r="I12" s="14">
        <v>69.483333333333334</v>
      </c>
      <c r="J12" s="14">
        <v>9.9499999999999993</v>
      </c>
      <c r="K12" s="14">
        <v>1.716666666666667</v>
      </c>
      <c r="L12" s="14">
        <v>25.133333333333329</v>
      </c>
      <c r="M12" s="14">
        <v>23.43333333333333</v>
      </c>
      <c r="N12" s="14">
        <v>144.6333333333333</v>
      </c>
      <c r="O12" s="14">
        <v>0</v>
      </c>
      <c r="P12" s="14">
        <v>0.83987814360898194</v>
      </c>
      <c r="Q12" s="14">
        <v>1.7979996304002079</v>
      </c>
      <c r="R12" s="14">
        <v>0.57590785271071809</v>
      </c>
      <c r="S12" s="14">
        <v>16.043682536598411</v>
      </c>
      <c r="T12" s="14">
        <v>16.779596658523619</v>
      </c>
      <c r="U12" s="14">
        <v>112.0883548622644</v>
      </c>
      <c r="V12" s="18"/>
      <c r="W12" s="18"/>
      <c r="X12" s="18"/>
      <c r="Y12" s="18"/>
      <c r="Z12" s="18"/>
      <c r="AA12" s="14" t="str">
        <f>IF(AND(D12&lt;&gt;"EV",D12&lt;&gt;"Diesel"),"Invalid vehicle",IF(COUNTIFS(Routes[Corridor],E12,Routes[Direction],F12)=0,"Unknown route",IF(C12="","Missing date",IF(SUM(O12:U12)&lt;=0,"No distance","OK"))))</f>
        <v>OK</v>
      </c>
      <c r="AB12" s="17">
        <f t="shared" si="47"/>
        <v>46204</v>
      </c>
      <c r="AC12" s="14">
        <f>--(COUNTIFS($C$5:C12,C12,$D$5:D12,D12,$G$5:G12,G12,$F$5:F12,F12)=1)</f>
        <v>1</v>
      </c>
      <c r="AD12" s="14">
        <f t="shared" si="1"/>
        <v>0</v>
      </c>
      <c r="AE12" s="14">
        <f t="shared" si="2"/>
        <v>1</v>
      </c>
      <c r="AF12" s="14">
        <f t="shared" si="48"/>
        <v>0</v>
      </c>
      <c r="AG12" s="14">
        <f>SUMIFS(Routes[Net elevation (m)],Routes[Corridor],E12,Routes[Direction],F12)</f>
        <v>-5</v>
      </c>
      <c r="AH12" s="14">
        <f t="shared" si="4"/>
        <v>14500</v>
      </c>
      <c r="AI12" s="14">
        <f t="shared" si="5"/>
        <v>0.25</v>
      </c>
      <c r="AJ12" s="14">
        <f t="shared" si="6"/>
        <v>8.1</v>
      </c>
      <c r="AK12" s="14">
        <f t="shared" si="49"/>
        <v>148.12541968410633</v>
      </c>
      <c r="AL12" s="14">
        <f t="shared" si="50"/>
        <v>4.5724999999999998</v>
      </c>
      <c r="AM12" s="14">
        <f t="shared" si="51"/>
        <v>4.5724999999999998</v>
      </c>
      <c r="AN12" s="14">
        <f t="shared" si="52"/>
        <v>1.3238888888888889</v>
      </c>
      <c r="AO12" s="14">
        <f t="shared" si="53"/>
        <v>3.2486111111111104</v>
      </c>
      <c r="AP12" s="14">
        <f t="shared" si="54"/>
        <v>44.784536201483526</v>
      </c>
      <c r="AQ12" s="14">
        <f t="shared" si="55"/>
        <v>20.128818152995969</v>
      </c>
      <c r="AR12" s="14">
        <f t="shared" si="56"/>
        <v>38.300568389757487</v>
      </c>
      <c r="AS12" s="14">
        <f t="shared" si="57"/>
        <v>42.963405384555507</v>
      </c>
      <c r="AT12" s="14">
        <f t="shared" si="58"/>
        <v>46.498971825783812</v>
      </c>
      <c r="AU12" s="14">
        <f t="shared" si="17"/>
        <v>54.265635160649083</v>
      </c>
      <c r="AV12" s="14">
        <f t="shared" si="18"/>
        <v>6.7286427554079564</v>
      </c>
      <c r="AW12" s="14">
        <f t="shared" si="59"/>
        <v>16.155096998658124</v>
      </c>
      <c r="AX12" s="14">
        <f t="shared" si="20"/>
        <v>-0.1975625</v>
      </c>
      <c r="AY12" s="14">
        <f t="shared" si="60"/>
        <v>54.265635160649083</v>
      </c>
      <c r="AZ12" s="14">
        <f t="shared" si="22"/>
        <v>-9.8781250000000001E-2</v>
      </c>
      <c r="BA12" s="14">
        <f t="shared" si="23"/>
        <v>9.5252354932501664</v>
      </c>
      <c r="BB12" s="14">
        <f t="shared" si="61"/>
        <v>70.321950909307205</v>
      </c>
      <c r="BC12" s="14">
        <f t="shared" si="25"/>
        <v>218.39115189225839</v>
      </c>
      <c r="BD12" s="14">
        <f t="shared" si="26"/>
        <v>75.182142857142836</v>
      </c>
      <c r="BE12" s="14">
        <f t="shared" si="27"/>
        <v>33.005285493827159</v>
      </c>
      <c r="BF12" s="14">
        <f t="shared" si="28"/>
        <v>0</v>
      </c>
      <c r="BG12" s="14">
        <f t="shared" si="62"/>
        <v>326.57858024322837</v>
      </c>
      <c r="BH12" s="14" t="str">
        <f t="shared" si="30"/>
        <v/>
      </c>
      <c r="BI12" s="14">
        <f t="shared" si="31"/>
        <v>1</v>
      </c>
      <c r="BJ12" s="14">
        <f t="shared" si="63"/>
        <v>326.57858024322837</v>
      </c>
      <c r="BK12" s="14">
        <f t="shared" si="33"/>
        <v>1175.6828888756222</v>
      </c>
      <c r="BL12" s="14">
        <f t="shared" si="34"/>
        <v>32.748826988178891</v>
      </c>
      <c r="BM12" s="14" t="str">
        <f t="shared" si="35"/>
        <v/>
      </c>
      <c r="BN12" s="14">
        <f t="shared" si="64"/>
        <v>2.2047436620918472</v>
      </c>
      <c r="BO12" s="14">
        <f t="shared" si="65"/>
        <v>0.45356746781673757</v>
      </c>
      <c r="BP12" s="14">
        <f t="shared" si="66"/>
        <v>4.5230755818391328</v>
      </c>
      <c r="BQ12" s="22">
        <f t="shared" si="67"/>
        <v>0.21532934234980444</v>
      </c>
      <c r="BR12" s="14">
        <f t="shared" si="40"/>
        <v>3012.8920829124581</v>
      </c>
      <c r="BS12" s="14">
        <f t="shared" si="41"/>
        <v>87.766856328319435</v>
      </c>
      <c r="BT12" s="14">
        <f t="shared" si="68"/>
        <v>20.340142085928129</v>
      </c>
      <c r="BU12" s="14">
        <f t="shared" si="69"/>
        <v>0.5925171825031238</v>
      </c>
      <c r="BV12" s="22" t="str">
        <f t="shared" si="70"/>
        <v/>
      </c>
      <c r="BW12" s="14" t="e">
        <f t="shared" si="71"/>
        <v>#N/A</v>
      </c>
      <c r="BX12" s="14" t="e">
        <f t="shared" si="72"/>
        <v>#N/A</v>
      </c>
    </row>
    <row r="13" spans="1:76" x14ac:dyDescent="0.25">
      <c r="A13" s="12" t="s">
        <v>464</v>
      </c>
      <c r="B13" s="12" t="s">
        <v>102</v>
      </c>
      <c r="C13" s="15">
        <v>46218</v>
      </c>
      <c r="D13" s="12" t="s">
        <v>300</v>
      </c>
      <c r="E13" s="12" t="s">
        <v>29</v>
      </c>
      <c r="F13" s="12" t="s">
        <v>41</v>
      </c>
      <c r="G13" s="16">
        <v>0.41410879629629632</v>
      </c>
      <c r="H13" s="14">
        <v>0</v>
      </c>
      <c r="I13" s="14">
        <v>25.883333333333329</v>
      </c>
      <c r="J13" s="14">
        <v>4.9333333333333336</v>
      </c>
      <c r="K13" s="14">
        <v>5.9333333333333336</v>
      </c>
      <c r="L13" s="14">
        <v>52.333333333333343</v>
      </c>
      <c r="M13" s="14">
        <v>37.574966666666668</v>
      </c>
      <c r="N13" s="14">
        <v>82.933616666666666</v>
      </c>
      <c r="O13" s="14">
        <v>0</v>
      </c>
      <c r="P13" s="14">
        <v>0.35568686098748031</v>
      </c>
      <c r="Q13" s="14">
        <v>0.46935934842854138</v>
      </c>
      <c r="R13" s="14">
        <v>0.35650575379932598</v>
      </c>
      <c r="S13" s="14">
        <v>43.251327961348252</v>
      </c>
      <c r="T13" s="14">
        <v>30.282041524727092</v>
      </c>
      <c r="U13" s="14">
        <v>66.907081684469304</v>
      </c>
      <c r="V13" s="18"/>
      <c r="W13" s="18"/>
      <c r="X13" s="18"/>
      <c r="Y13" s="18"/>
      <c r="Z13" s="18"/>
      <c r="AA13" s="14" t="str">
        <f>IF(AND(D13&lt;&gt;"EV",D13&lt;&gt;"Diesel"),"Invalid vehicle",IF(COUNTIFS(Routes[Corridor],E13,Routes[Direction],F13)=0,"Unknown route",IF(C13="","Missing date",IF(SUM(O13:U13)&lt;=0,"No distance","OK"))))</f>
        <v>OK</v>
      </c>
      <c r="AB13" s="17">
        <f t="shared" si="47"/>
        <v>46204</v>
      </c>
      <c r="AC13" s="14">
        <f>--(COUNTIFS($C$5:C13,C13,$D$5:D13,D13,$G$5:G13,G13,$F$5:F13,F13)=1)</f>
        <v>1</v>
      </c>
      <c r="AD13" s="14">
        <f t="shared" si="1"/>
        <v>0</v>
      </c>
      <c r="AE13" s="14">
        <f t="shared" si="2"/>
        <v>1</v>
      </c>
      <c r="AF13" s="14">
        <f t="shared" si="48"/>
        <v>0</v>
      </c>
      <c r="AG13" s="14">
        <f>SUMIFS(Routes[Net elevation (m)],Routes[Corridor],E13,Routes[Direction],F13)</f>
        <v>-5</v>
      </c>
      <c r="AH13" s="14">
        <f t="shared" si="4"/>
        <v>16500</v>
      </c>
      <c r="AI13" s="14">
        <f t="shared" si="5"/>
        <v>0.25</v>
      </c>
      <c r="AJ13" s="14">
        <f t="shared" si="6"/>
        <v>8.1</v>
      </c>
      <c r="AK13" s="14">
        <f t="shared" si="49"/>
        <v>141.62200313376002</v>
      </c>
      <c r="AL13" s="14">
        <f t="shared" si="50"/>
        <v>3.4931986111111115</v>
      </c>
      <c r="AM13" s="14">
        <f t="shared" si="51"/>
        <v>3.4931986111111115</v>
      </c>
      <c r="AN13" s="14">
        <f t="shared" si="52"/>
        <v>0.51361111111111102</v>
      </c>
      <c r="AO13" s="14">
        <f t="shared" si="53"/>
        <v>2.9795875000000005</v>
      </c>
      <c r="AP13" s="14">
        <f t="shared" si="54"/>
        <v>47.253841991330667</v>
      </c>
      <c r="AQ13" s="14">
        <f t="shared" si="55"/>
        <v>3.6051143642628469</v>
      </c>
      <c r="AR13" s="14">
        <f t="shared" si="56"/>
        <v>49.587509764603084</v>
      </c>
      <c r="AS13" s="14">
        <f t="shared" si="57"/>
        <v>48.354600220988225</v>
      </c>
      <c r="AT13" s="14">
        <f t="shared" si="58"/>
        <v>48.405279576836151</v>
      </c>
      <c r="AU13" s="14">
        <f t="shared" si="17"/>
        <v>52.777920820174337</v>
      </c>
      <c r="AV13" s="14">
        <f t="shared" si="18"/>
        <v>14.303245980179531</v>
      </c>
      <c r="AW13" s="14">
        <f t="shared" si="59"/>
        <v>49.55881328904487</v>
      </c>
      <c r="AX13" s="14">
        <f t="shared" si="20"/>
        <v>-0.2248125</v>
      </c>
      <c r="AY13" s="14">
        <f t="shared" si="60"/>
        <v>52.777920820174337</v>
      </c>
      <c r="AZ13" s="14">
        <f t="shared" si="22"/>
        <v>-0.11240625</v>
      </c>
      <c r="BA13" s="14">
        <f t="shared" si="23"/>
        <v>35.367973558865337</v>
      </c>
      <c r="BB13" s="14">
        <f t="shared" si="61"/>
        <v>102.2243278592192</v>
      </c>
      <c r="BC13" s="14">
        <f t="shared" si="25"/>
        <v>123.25836843216882</v>
      </c>
      <c r="BD13" s="14">
        <f t="shared" si="26"/>
        <v>28.294908750000001</v>
      </c>
      <c r="BE13" s="14">
        <f t="shared" si="27"/>
        <v>0</v>
      </c>
      <c r="BF13" s="14">
        <f t="shared" si="28"/>
        <v>17.599457322626979</v>
      </c>
      <c r="BG13" s="14">
        <f t="shared" si="62"/>
        <v>133.95381985954182</v>
      </c>
      <c r="BH13" s="14" t="str">
        <f t="shared" si="30"/>
        <v/>
      </c>
      <c r="BI13" s="14">
        <f t="shared" si="31"/>
        <v>1</v>
      </c>
      <c r="BJ13" s="14">
        <f t="shared" si="63"/>
        <v>133.95381985954182</v>
      </c>
      <c r="BK13" s="14">
        <f t="shared" si="33"/>
        <v>482.2337514943506</v>
      </c>
      <c r="BL13" s="14" t="str">
        <f t="shared" si="34"/>
        <v/>
      </c>
      <c r="BM13" s="14">
        <f t="shared" si="35"/>
        <v>145.60197810819764</v>
      </c>
      <c r="BN13" s="14">
        <f t="shared" si="64"/>
        <v>0.94585457694045116</v>
      </c>
      <c r="BO13" s="14">
        <f t="shared" si="65"/>
        <v>1.0572449765319027</v>
      </c>
      <c r="BP13" s="14" t="str">
        <f t="shared" si="66"/>
        <v/>
      </c>
      <c r="BQ13" s="22">
        <f t="shared" si="67"/>
        <v>0.76313111463642624</v>
      </c>
      <c r="BR13" s="14">
        <f t="shared" si="40"/>
        <v>1383.2187920278775</v>
      </c>
      <c r="BS13" s="14">
        <f t="shared" si="41"/>
        <v>103.37740445682032</v>
      </c>
      <c r="BT13" s="14">
        <f t="shared" si="68"/>
        <v>9.766976609711179</v>
      </c>
      <c r="BU13" s="14">
        <f t="shared" si="69"/>
        <v>0.72995298872578285</v>
      </c>
      <c r="BV13" s="22" t="str">
        <f t="shared" si="70"/>
        <v/>
      </c>
      <c r="BW13" s="14" t="e">
        <f t="shared" si="71"/>
        <v>#N/A</v>
      </c>
      <c r="BX13" s="14" t="e">
        <f t="shared" si="72"/>
        <v>#N/A</v>
      </c>
    </row>
    <row r="14" spans="1:76" x14ac:dyDescent="0.25">
      <c r="A14" s="12" t="s">
        <v>465</v>
      </c>
      <c r="B14" s="12" t="s">
        <v>102</v>
      </c>
      <c r="C14" s="15">
        <v>46220</v>
      </c>
      <c r="D14" s="12" t="s">
        <v>457</v>
      </c>
      <c r="E14" s="12" t="s">
        <v>29</v>
      </c>
      <c r="F14" s="12" t="s">
        <v>41</v>
      </c>
      <c r="G14" s="16">
        <v>0.48878472222222225</v>
      </c>
      <c r="H14" s="14">
        <v>0</v>
      </c>
      <c r="I14" s="14">
        <v>31.8</v>
      </c>
      <c r="J14" s="14">
        <v>0</v>
      </c>
      <c r="K14" s="14">
        <v>1.5</v>
      </c>
      <c r="L14" s="14">
        <v>30.466666666666669</v>
      </c>
      <c r="M14" s="14">
        <v>23</v>
      </c>
      <c r="N14" s="14">
        <v>134.3833333333333</v>
      </c>
      <c r="O14" s="14">
        <v>0</v>
      </c>
      <c r="P14" s="14">
        <v>0.22156090055420241</v>
      </c>
      <c r="Q14" s="14">
        <v>0</v>
      </c>
      <c r="R14" s="14">
        <v>0.11647473715777031</v>
      </c>
      <c r="S14" s="14">
        <v>21.52228685090974</v>
      </c>
      <c r="T14" s="14">
        <v>17.072623143274491</v>
      </c>
      <c r="U14" s="14">
        <v>102.738159054381</v>
      </c>
      <c r="V14" s="18"/>
      <c r="W14" s="18"/>
      <c r="X14" s="18"/>
      <c r="Y14" s="18"/>
      <c r="Z14" s="18"/>
      <c r="AA14" s="14" t="str">
        <f>IF(AND(D14&lt;&gt;"EV",D14&lt;&gt;"Diesel"),"Invalid vehicle",IF(COUNTIFS(Routes[Corridor],E14,Routes[Direction],F14)=0,"Unknown route",IF(C14="","Missing date",IF(SUM(O14:U14)&lt;=0,"No distance","OK"))))</f>
        <v>OK</v>
      </c>
      <c r="AB14" s="17">
        <f t="shared" si="47"/>
        <v>46204</v>
      </c>
      <c r="AC14" s="14">
        <f>--(COUNTIFS($C$5:C14,C14,$D$5:D14,D14,$G$5:G14,G14,$F$5:F14,F14)=1)</f>
        <v>1</v>
      </c>
      <c r="AD14" s="14">
        <f t="shared" si="1"/>
        <v>0</v>
      </c>
      <c r="AE14" s="14">
        <f t="shared" si="2"/>
        <v>1</v>
      </c>
      <c r="AF14" s="14">
        <f t="shared" si="48"/>
        <v>0</v>
      </c>
      <c r="AG14" s="14">
        <f>SUMIFS(Routes[Net elevation (m)],Routes[Corridor],E14,Routes[Direction],F14)</f>
        <v>-5</v>
      </c>
      <c r="AH14" s="14">
        <f t="shared" si="4"/>
        <v>14500</v>
      </c>
      <c r="AI14" s="14">
        <f t="shared" si="5"/>
        <v>0.25</v>
      </c>
      <c r="AJ14" s="14">
        <f t="shared" si="6"/>
        <v>8.1</v>
      </c>
      <c r="AK14" s="14">
        <f t="shared" si="49"/>
        <v>141.6711046862772</v>
      </c>
      <c r="AL14" s="14">
        <f t="shared" si="50"/>
        <v>3.6858333333333331</v>
      </c>
      <c r="AM14" s="14">
        <f t="shared" si="51"/>
        <v>3.6858333333333331</v>
      </c>
      <c r="AN14" s="14">
        <f t="shared" si="52"/>
        <v>0.53</v>
      </c>
      <c r="AO14" s="14">
        <f t="shared" si="53"/>
        <v>3.1558333333333328</v>
      </c>
      <c r="AP14" s="14">
        <f t="shared" si="54"/>
        <v>44.821614085784951</v>
      </c>
      <c r="AQ14" s="14">
        <f t="shared" si="55"/>
        <v>4.6589894863108121</v>
      </c>
      <c r="AR14" s="14">
        <f t="shared" si="56"/>
        <v>42.385247627612181</v>
      </c>
      <c r="AS14" s="14">
        <f t="shared" si="57"/>
        <v>44.537277765063884</v>
      </c>
      <c r="AT14" s="14">
        <f t="shared" si="58"/>
        <v>45.87093793820808</v>
      </c>
      <c r="AU14" s="14">
        <f t="shared" si="17"/>
        <v>51.639287667354168</v>
      </c>
      <c r="AV14" s="14">
        <f t="shared" si="18"/>
        <v>7.0046189462933093</v>
      </c>
      <c r="AW14" s="14">
        <f t="shared" si="59"/>
        <v>21.671747176263278</v>
      </c>
      <c r="AX14" s="14">
        <f t="shared" si="20"/>
        <v>-0.1975625</v>
      </c>
      <c r="AY14" s="14">
        <f t="shared" si="60"/>
        <v>51.639287667354168</v>
      </c>
      <c r="AZ14" s="14">
        <f t="shared" si="22"/>
        <v>-9.8781250000000001E-2</v>
      </c>
      <c r="BA14" s="14">
        <f t="shared" si="23"/>
        <v>14.765909479969968</v>
      </c>
      <c r="BB14" s="14">
        <f t="shared" si="61"/>
        <v>73.212253593617447</v>
      </c>
      <c r="BC14" s="14">
        <f t="shared" si="25"/>
        <v>227.36724718514733</v>
      </c>
      <c r="BD14" s="14">
        <f t="shared" si="26"/>
        <v>73.034999999999997</v>
      </c>
      <c r="BE14" s="14">
        <f t="shared" si="27"/>
        <v>13.213194444444445</v>
      </c>
      <c r="BF14" s="14">
        <f t="shared" si="28"/>
        <v>0</v>
      </c>
      <c r="BG14" s="14">
        <f t="shared" si="62"/>
        <v>313.61544162959177</v>
      </c>
      <c r="BH14" s="14" t="str">
        <f t="shared" si="30"/>
        <v/>
      </c>
      <c r="BI14" s="14">
        <f t="shared" si="31"/>
        <v>1</v>
      </c>
      <c r="BJ14" s="14">
        <f t="shared" si="63"/>
        <v>313.61544162959177</v>
      </c>
      <c r="BK14" s="14">
        <f t="shared" si="33"/>
        <v>1129.0155898665305</v>
      </c>
      <c r="BL14" s="14">
        <f t="shared" si="34"/>
        <v>31.448902224694443</v>
      </c>
      <c r="BM14" s="14" t="str">
        <f t="shared" si="35"/>
        <v/>
      </c>
      <c r="BN14" s="14">
        <f t="shared" si="64"/>
        <v>2.2136867099616095</v>
      </c>
      <c r="BO14" s="14">
        <f t="shared" si="65"/>
        <v>0.45173510574011722</v>
      </c>
      <c r="BP14" s="14">
        <f t="shared" si="66"/>
        <v>4.5048028600195016</v>
      </c>
      <c r="BQ14" s="22">
        <f t="shared" si="67"/>
        <v>0.23344594645338843</v>
      </c>
      <c r="BR14" s="14">
        <f t="shared" si="40"/>
        <v>2893.2990046718887</v>
      </c>
      <c r="BS14" s="14">
        <f t="shared" si="41"/>
        <v>84.283057962181118</v>
      </c>
      <c r="BT14" s="14">
        <f t="shared" si="68"/>
        <v>20.422647307500981</v>
      </c>
      <c r="BU14" s="14">
        <f t="shared" si="69"/>
        <v>0.59492059547937648</v>
      </c>
      <c r="BV14" s="22" t="str">
        <f t="shared" si="70"/>
        <v/>
      </c>
      <c r="BW14" s="14" t="e">
        <f t="shared" si="71"/>
        <v>#N/A</v>
      </c>
      <c r="BX14" s="14" t="e">
        <f t="shared" si="72"/>
        <v>#N/A</v>
      </c>
    </row>
    <row r="15" spans="1:76" x14ac:dyDescent="0.25">
      <c r="A15" s="12" t="s">
        <v>466</v>
      </c>
      <c r="B15" s="12" t="s">
        <v>108</v>
      </c>
      <c r="C15" s="15">
        <v>46220</v>
      </c>
      <c r="D15" s="12" t="s">
        <v>300</v>
      </c>
      <c r="E15" s="12" t="s">
        <v>29</v>
      </c>
      <c r="F15" s="12" t="s">
        <v>41</v>
      </c>
      <c r="G15" s="16">
        <v>0.32745370370370369</v>
      </c>
      <c r="H15" s="14">
        <v>0</v>
      </c>
      <c r="I15" s="14">
        <v>30.18333333333333</v>
      </c>
      <c r="J15" s="14">
        <v>14.29151666666667</v>
      </c>
      <c r="K15" s="14">
        <v>2.1</v>
      </c>
      <c r="L15" s="14">
        <v>48.092233333333333</v>
      </c>
      <c r="M15" s="14">
        <v>33.450000000000003</v>
      </c>
      <c r="N15" s="14">
        <v>93.4</v>
      </c>
      <c r="O15" s="14">
        <v>0</v>
      </c>
      <c r="P15" s="14">
        <v>0.38306581509713777</v>
      </c>
      <c r="Q15" s="14">
        <v>2.3361160569771502</v>
      </c>
      <c r="R15" s="14">
        <v>0.20461421027387261</v>
      </c>
      <c r="S15" s="14">
        <v>38.636070215722071</v>
      </c>
      <c r="T15" s="14">
        <v>26.286683002730651</v>
      </c>
      <c r="U15" s="14">
        <v>80.361862644527108</v>
      </c>
      <c r="V15" s="18"/>
      <c r="W15" s="18"/>
      <c r="X15" s="18"/>
      <c r="Y15" s="18"/>
      <c r="Z15" s="18"/>
      <c r="AA15" s="14" t="str">
        <f>IF(AND(D15&lt;&gt;"EV",D15&lt;&gt;"Diesel"),"Invalid vehicle",IF(COUNTIFS(Routes[Corridor],E15,Routes[Direction],F15)=0,"Unknown route",IF(C15="","Missing date",IF(SUM(O15:U15)&lt;=0,"No distance","OK"))))</f>
        <v>OK</v>
      </c>
      <c r="AB15" s="17">
        <f t="shared" si="47"/>
        <v>46204</v>
      </c>
      <c r="AC15" s="14">
        <f>--(COUNTIFS($C$5:C15,C15,$D$5:D15,D15,$G$5:G15,G15,$F$5:F15,F15)=1)</f>
        <v>1</v>
      </c>
      <c r="AD15" s="14">
        <f t="shared" si="1"/>
        <v>0</v>
      </c>
      <c r="AE15" s="14">
        <f t="shared" si="2"/>
        <v>1</v>
      </c>
      <c r="AF15" s="14">
        <f t="shared" si="48"/>
        <v>0</v>
      </c>
      <c r="AG15" s="14">
        <f>SUMIFS(Routes[Net elevation (m)],Routes[Corridor],E15,Routes[Direction],F15)</f>
        <v>-5</v>
      </c>
      <c r="AH15" s="14">
        <f t="shared" si="4"/>
        <v>16500</v>
      </c>
      <c r="AI15" s="14">
        <f t="shared" si="5"/>
        <v>0.25</v>
      </c>
      <c r="AJ15" s="14">
        <f t="shared" si="6"/>
        <v>8.1</v>
      </c>
      <c r="AK15" s="14">
        <f t="shared" si="49"/>
        <v>148.20841194532801</v>
      </c>
      <c r="AL15" s="14">
        <f t="shared" si="50"/>
        <v>3.6919513888888891</v>
      </c>
      <c r="AM15" s="14">
        <f t="shared" si="51"/>
        <v>3.6919513888888891</v>
      </c>
      <c r="AN15" s="14">
        <f t="shared" si="52"/>
        <v>0.74124750000000006</v>
      </c>
      <c r="AO15" s="14">
        <f t="shared" si="53"/>
        <v>2.950703888888889</v>
      </c>
      <c r="AP15" s="14">
        <f t="shared" si="54"/>
        <v>49.306618200865572</v>
      </c>
      <c r="AQ15" s="14">
        <f t="shared" si="55"/>
        <v>5.8461202935392169</v>
      </c>
      <c r="AR15" s="14">
        <f t="shared" si="56"/>
        <v>48.20246539344172</v>
      </c>
      <c r="AS15" s="14">
        <f t="shared" si="57"/>
        <v>47.151000901759019</v>
      </c>
      <c r="AT15" s="14">
        <f t="shared" si="58"/>
        <v>51.624322897983149</v>
      </c>
      <c r="AU15" s="14">
        <f t="shared" si="17"/>
        <v>58.859931428815599</v>
      </c>
      <c r="AV15" s="14">
        <f t="shared" si="18"/>
        <v>12.212435347061117</v>
      </c>
      <c r="AW15" s="14">
        <f t="shared" si="59"/>
        <v>44.270497122181546</v>
      </c>
      <c r="AX15" s="14">
        <f t="shared" si="20"/>
        <v>-0.2248125</v>
      </c>
      <c r="AY15" s="14">
        <f t="shared" si="60"/>
        <v>58.859931428815599</v>
      </c>
      <c r="AZ15" s="14">
        <f t="shared" si="22"/>
        <v>-0.11240625</v>
      </c>
      <c r="BA15" s="14">
        <f t="shared" si="23"/>
        <v>32.170468025120428</v>
      </c>
      <c r="BB15" s="14">
        <f t="shared" si="61"/>
        <v>103.01802230099715</v>
      </c>
      <c r="BC15" s="14">
        <f t="shared" si="25"/>
        <v>124.21537625971804</v>
      </c>
      <c r="BD15" s="14">
        <f t="shared" si="26"/>
        <v>29.90480625</v>
      </c>
      <c r="BE15" s="14">
        <f t="shared" si="27"/>
        <v>0</v>
      </c>
      <c r="BF15" s="14">
        <f t="shared" si="28"/>
        <v>16.008346593980175</v>
      </c>
      <c r="BG15" s="14">
        <f t="shared" si="62"/>
        <v>138.11183591573786</v>
      </c>
      <c r="BH15" s="14" t="str">
        <f t="shared" si="30"/>
        <v/>
      </c>
      <c r="BI15" s="14">
        <f t="shared" si="31"/>
        <v>1</v>
      </c>
      <c r="BJ15" s="14">
        <f t="shared" si="63"/>
        <v>138.11183591573786</v>
      </c>
      <c r="BK15" s="14">
        <f t="shared" si="33"/>
        <v>497.20260929665631</v>
      </c>
      <c r="BL15" s="14" t="str">
        <f t="shared" si="34"/>
        <v/>
      </c>
      <c r="BM15" s="14">
        <f t="shared" si="35"/>
        <v>150.12156077797593</v>
      </c>
      <c r="BN15" s="14">
        <f t="shared" si="64"/>
        <v>0.93187582339580943</v>
      </c>
      <c r="BO15" s="14">
        <f t="shared" si="65"/>
        <v>1.0731043502727027</v>
      </c>
      <c r="BP15" s="14" t="str">
        <f t="shared" si="66"/>
        <v/>
      </c>
      <c r="BQ15" s="22">
        <f t="shared" si="67"/>
        <v>0.74590292437969274</v>
      </c>
      <c r="BR15" s="14">
        <f t="shared" si="40"/>
        <v>1426.1548273907713</v>
      </c>
      <c r="BS15" s="14">
        <f t="shared" si="41"/>
        <v>106.5863081523629</v>
      </c>
      <c r="BT15" s="14">
        <f t="shared" si="68"/>
        <v>9.6226307850654234</v>
      </c>
      <c r="BU15" s="14">
        <f t="shared" si="69"/>
        <v>0.71916503762067896</v>
      </c>
      <c r="BV15" s="22" t="str">
        <f t="shared" si="70"/>
        <v/>
      </c>
      <c r="BW15" s="14" t="e">
        <f t="shared" si="71"/>
        <v>#N/A</v>
      </c>
      <c r="BX15" s="14" t="e">
        <f t="shared" si="72"/>
        <v>#N/A</v>
      </c>
    </row>
    <row r="16" spans="1:76" x14ac:dyDescent="0.25">
      <c r="A16" s="12" t="s">
        <v>467</v>
      </c>
      <c r="B16" s="12" t="s">
        <v>108</v>
      </c>
      <c r="C16" s="15">
        <v>46218</v>
      </c>
      <c r="D16" s="12" t="s">
        <v>457</v>
      </c>
      <c r="E16" s="12" t="s">
        <v>29</v>
      </c>
      <c r="F16" s="12" t="s">
        <v>41</v>
      </c>
      <c r="G16" s="16">
        <v>0.47248842592592594</v>
      </c>
      <c r="H16" s="14">
        <v>0</v>
      </c>
      <c r="I16" s="14">
        <v>69.483333333333334</v>
      </c>
      <c r="J16" s="14">
        <v>9.9499999999999993</v>
      </c>
      <c r="K16" s="14">
        <v>1.716666666666667</v>
      </c>
      <c r="L16" s="14">
        <v>25.133333333333329</v>
      </c>
      <c r="M16" s="14">
        <v>23.43333333333333</v>
      </c>
      <c r="N16" s="14">
        <v>144.6333333333333</v>
      </c>
      <c r="O16" s="14">
        <v>0</v>
      </c>
      <c r="P16" s="14">
        <v>0.83987814360898194</v>
      </c>
      <c r="Q16" s="14">
        <v>1.7979996304002079</v>
      </c>
      <c r="R16" s="14">
        <v>0.57590785271071809</v>
      </c>
      <c r="S16" s="14">
        <v>16.043682536598411</v>
      </c>
      <c r="T16" s="14">
        <v>16.779596658523619</v>
      </c>
      <c r="U16" s="14">
        <v>112.1131547520701</v>
      </c>
      <c r="V16" s="18"/>
      <c r="W16" s="18"/>
      <c r="X16" s="18"/>
      <c r="Y16" s="18"/>
      <c r="Z16" s="18"/>
      <c r="AA16" s="14" t="str">
        <f>IF(AND(D16&lt;&gt;"EV",D16&lt;&gt;"Diesel"),"Invalid vehicle",IF(COUNTIFS(Routes[Corridor],E16,Routes[Direction],F16)=0,"Unknown route",IF(C16="","Missing date",IF(SUM(O16:U16)&lt;=0,"No distance","OK"))))</f>
        <v>OK</v>
      </c>
      <c r="AB16" s="17">
        <f t="shared" si="47"/>
        <v>46204</v>
      </c>
      <c r="AC16" s="14">
        <f>--(COUNTIFS($C$5:C16,C16,$D$5:D16,D16,$G$5:G16,G16,$F$5:F16,F16)=1)</f>
        <v>0</v>
      </c>
      <c r="AD16" s="14">
        <f t="shared" si="1"/>
        <v>0</v>
      </c>
      <c r="AE16" s="14">
        <f t="shared" si="2"/>
        <v>1</v>
      </c>
      <c r="AF16" s="14">
        <f t="shared" si="48"/>
        <v>0</v>
      </c>
      <c r="AG16" s="14">
        <f>SUMIFS(Routes[Net elevation (m)],Routes[Corridor],E16,Routes[Direction],F16)</f>
        <v>-5</v>
      </c>
      <c r="AH16" s="14">
        <f t="shared" si="4"/>
        <v>14500</v>
      </c>
      <c r="AI16" s="14">
        <f t="shared" si="5"/>
        <v>0.25</v>
      </c>
      <c r="AJ16" s="14">
        <f t="shared" si="6"/>
        <v>8.1</v>
      </c>
      <c r="AK16" s="14">
        <f t="shared" si="49"/>
        <v>148.15021957391204</v>
      </c>
      <c r="AL16" s="14">
        <f t="shared" si="50"/>
        <v>4.5724999999999998</v>
      </c>
      <c r="AM16" s="14">
        <f t="shared" si="51"/>
        <v>4.5724999999999998</v>
      </c>
      <c r="AN16" s="14">
        <f t="shared" si="52"/>
        <v>1.3238888888888889</v>
      </c>
      <c r="AO16" s="14">
        <f t="shared" si="53"/>
        <v>3.2486111111111104</v>
      </c>
      <c r="AP16" s="14">
        <f t="shared" si="54"/>
        <v>44.792170199200548</v>
      </c>
      <c r="AQ16" s="14">
        <f t="shared" si="55"/>
        <v>20.128818152995969</v>
      </c>
      <c r="AR16" s="14">
        <f t="shared" si="56"/>
        <v>38.300568389757487</v>
      </c>
      <c r="AS16" s="14">
        <f t="shared" si="57"/>
        <v>42.963405384555507</v>
      </c>
      <c r="AT16" s="14">
        <f t="shared" si="58"/>
        <v>46.509259864882743</v>
      </c>
      <c r="AU16" s="14">
        <f t="shared" si="17"/>
        <v>54.283339399117438</v>
      </c>
      <c r="AV16" s="14">
        <f t="shared" si="18"/>
        <v>6.7286427554079564</v>
      </c>
      <c r="AW16" s="14">
        <f t="shared" si="59"/>
        <v>16.155096998658124</v>
      </c>
      <c r="AX16" s="14">
        <f t="shared" si="20"/>
        <v>-0.1975625</v>
      </c>
      <c r="AY16" s="14">
        <f t="shared" si="60"/>
        <v>54.283339399117438</v>
      </c>
      <c r="AZ16" s="14">
        <f t="shared" si="22"/>
        <v>-9.8781250000000001E-2</v>
      </c>
      <c r="BA16" s="14">
        <f t="shared" si="23"/>
        <v>9.5252354932501664</v>
      </c>
      <c r="BB16" s="14">
        <f t="shared" si="61"/>
        <v>70.339655147775559</v>
      </c>
      <c r="BC16" s="14">
        <f t="shared" si="25"/>
        <v>218.44613399930299</v>
      </c>
      <c r="BD16" s="14">
        <f t="shared" si="26"/>
        <v>75.182142857142836</v>
      </c>
      <c r="BE16" s="14">
        <f t="shared" si="27"/>
        <v>33.005285493827159</v>
      </c>
      <c r="BF16" s="14">
        <f t="shared" si="28"/>
        <v>0</v>
      </c>
      <c r="BG16" s="14">
        <f t="shared" si="62"/>
        <v>326.633562350273</v>
      </c>
      <c r="BH16" s="14" t="str">
        <f t="shared" si="30"/>
        <v/>
      </c>
      <c r="BI16" s="14">
        <f t="shared" si="31"/>
        <v>1</v>
      </c>
      <c r="BJ16" s="14">
        <f t="shared" si="63"/>
        <v>326.633562350273</v>
      </c>
      <c r="BK16" s="14">
        <f t="shared" si="33"/>
        <v>1175.8808244609829</v>
      </c>
      <c r="BL16" s="14">
        <f t="shared" si="34"/>
        <v>32.754340514233505</v>
      </c>
      <c r="BM16" s="14" t="str">
        <f t="shared" si="35"/>
        <v/>
      </c>
      <c r="BN16" s="14">
        <f t="shared" si="64"/>
        <v>2.20474571883652</v>
      </c>
      <c r="BO16" s="14">
        <f t="shared" si="65"/>
        <v>0.45356704469652676</v>
      </c>
      <c r="BP16" s="14">
        <f t="shared" si="66"/>
        <v>4.5230713623903638</v>
      </c>
      <c r="BQ16" s="22">
        <f t="shared" si="67"/>
        <v>0.21534729818225237</v>
      </c>
      <c r="BR16" s="14">
        <f t="shared" si="40"/>
        <v>3013.3993273094825</v>
      </c>
      <c r="BS16" s="14">
        <f t="shared" si="41"/>
        <v>87.781632578145803</v>
      </c>
      <c r="BT16" s="14">
        <f t="shared" si="68"/>
        <v>20.340161060686782</v>
      </c>
      <c r="BU16" s="14">
        <f t="shared" si="69"/>
        <v>0.5925177352460933</v>
      </c>
      <c r="BV16" s="22" t="str">
        <f t="shared" si="70"/>
        <v/>
      </c>
      <c r="BW16" s="14" t="e">
        <f t="shared" si="71"/>
        <v>#N/A</v>
      </c>
      <c r="BX16" s="14" t="e">
        <f t="shared" si="72"/>
        <v>#N/A</v>
      </c>
    </row>
    <row r="17" spans="1:76" x14ac:dyDescent="0.25">
      <c r="A17" s="12" t="s">
        <v>468</v>
      </c>
      <c r="B17" s="12" t="s">
        <v>111</v>
      </c>
      <c r="C17" s="15">
        <v>46218</v>
      </c>
      <c r="D17" s="12" t="s">
        <v>300</v>
      </c>
      <c r="E17" s="12" t="s">
        <v>29</v>
      </c>
      <c r="F17" s="12" t="s">
        <v>41</v>
      </c>
      <c r="G17" s="16">
        <v>0.40156249999999999</v>
      </c>
      <c r="H17" s="14">
        <v>0</v>
      </c>
      <c r="I17" s="14">
        <v>29.40441666666667</v>
      </c>
      <c r="J17" s="14">
        <v>9.2371500000000015</v>
      </c>
      <c r="K17" s="14">
        <v>8.0166666666666675</v>
      </c>
      <c r="L17" s="14">
        <v>55.05</v>
      </c>
      <c r="M17" s="14">
        <v>38.85</v>
      </c>
      <c r="N17" s="14">
        <v>92.333333333333329</v>
      </c>
      <c r="O17" s="14">
        <v>0</v>
      </c>
      <c r="P17" s="14">
        <v>0.4715380269015641</v>
      </c>
      <c r="Q17" s="14">
        <v>0.72334267161559207</v>
      </c>
      <c r="R17" s="14">
        <v>0.62657519758941227</v>
      </c>
      <c r="S17" s="14">
        <v>44.372426251753588</v>
      </c>
      <c r="T17" s="14">
        <v>30.69503766819436</v>
      </c>
      <c r="U17" s="14">
        <v>69.221442413661691</v>
      </c>
      <c r="V17" s="18"/>
      <c r="W17" s="18"/>
      <c r="X17" s="18"/>
      <c r="Y17" s="18"/>
      <c r="Z17" s="18"/>
      <c r="AA17" s="14" t="str">
        <f>IF(AND(D17&lt;&gt;"EV",D17&lt;&gt;"Diesel"),"Invalid vehicle",IF(COUNTIFS(Routes[Corridor],E17,Routes[Direction],F17)=0,"Unknown route",IF(C17="","Missing date",IF(SUM(O17:U17)&lt;=0,"No distance","OK"))))</f>
        <v>OK</v>
      </c>
      <c r="AB17" s="17">
        <f t="shared" si="47"/>
        <v>46204</v>
      </c>
      <c r="AC17" s="14">
        <f>--(COUNTIFS($C$5:C17,C17,$D$5:D17,D17,$G$5:G17,G17,$F$5:F17,F17)=1)</f>
        <v>1</v>
      </c>
      <c r="AD17" s="14">
        <f t="shared" si="1"/>
        <v>0</v>
      </c>
      <c r="AE17" s="14">
        <f t="shared" si="2"/>
        <v>1</v>
      </c>
      <c r="AF17" s="14">
        <f t="shared" si="48"/>
        <v>0</v>
      </c>
      <c r="AG17" s="14">
        <f>SUMIFS(Routes[Net elevation (m)],Routes[Corridor],E17,Routes[Direction],F17)</f>
        <v>-5</v>
      </c>
      <c r="AH17" s="14">
        <f t="shared" si="4"/>
        <v>16500</v>
      </c>
      <c r="AI17" s="14">
        <f t="shared" si="5"/>
        <v>0.25</v>
      </c>
      <c r="AJ17" s="14">
        <f t="shared" si="6"/>
        <v>8.1</v>
      </c>
      <c r="AK17" s="14">
        <f t="shared" si="49"/>
        <v>146.1103622297162</v>
      </c>
      <c r="AL17" s="14">
        <f t="shared" si="50"/>
        <v>3.8815261111111115</v>
      </c>
      <c r="AM17" s="14">
        <f t="shared" si="51"/>
        <v>3.8815261111111115</v>
      </c>
      <c r="AN17" s="14">
        <f t="shared" si="52"/>
        <v>0.64402611111111119</v>
      </c>
      <c r="AO17" s="14">
        <f t="shared" si="53"/>
        <v>3.2374999999999998</v>
      </c>
      <c r="AP17" s="14">
        <f t="shared" si="54"/>
        <v>44.761538696895464</v>
      </c>
      <c r="AQ17" s="14">
        <f t="shared" si="55"/>
        <v>4.6895440983822949</v>
      </c>
      <c r="AR17" s="14">
        <f t="shared" si="56"/>
        <v>48.36231744060337</v>
      </c>
      <c r="AS17" s="14">
        <f t="shared" si="57"/>
        <v>47.405463580222943</v>
      </c>
      <c r="AT17" s="14">
        <f t="shared" si="58"/>
        <v>44.981442723679081</v>
      </c>
      <c r="AU17" s="14">
        <f t="shared" si="17"/>
        <v>52.761797805129994</v>
      </c>
      <c r="AV17" s="14">
        <f t="shared" si="18"/>
        <v>14.310276994337928</v>
      </c>
      <c r="AW17" s="14">
        <f t="shared" si="59"/>
        <v>50.843405080134318</v>
      </c>
      <c r="AX17" s="14">
        <f t="shared" si="20"/>
        <v>-0.2248125</v>
      </c>
      <c r="AY17" s="14">
        <f t="shared" si="60"/>
        <v>52.761797805129994</v>
      </c>
      <c r="AZ17" s="14">
        <f t="shared" si="22"/>
        <v>-0.11240625</v>
      </c>
      <c r="BA17" s="14">
        <f t="shared" si="23"/>
        <v>36.645534335796391</v>
      </c>
      <c r="BB17" s="14">
        <f t="shared" si="61"/>
        <v>103.4927966352643</v>
      </c>
      <c r="BC17" s="14">
        <f t="shared" si="25"/>
        <v>124.78784184634269</v>
      </c>
      <c r="BD17" s="14">
        <f t="shared" si="26"/>
        <v>31.440361500000002</v>
      </c>
      <c r="BE17" s="14">
        <f t="shared" si="27"/>
        <v>0</v>
      </c>
      <c r="BF17" s="14">
        <f t="shared" si="28"/>
        <v>18.235184340835641</v>
      </c>
      <c r="BG17" s="14">
        <f t="shared" si="62"/>
        <v>137.99301900550705</v>
      </c>
      <c r="BH17" s="14" t="str">
        <f t="shared" si="30"/>
        <v/>
      </c>
      <c r="BI17" s="14">
        <f t="shared" si="31"/>
        <v>1</v>
      </c>
      <c r="BJ17" s="14">
        <f t="shared" si="63"/>
        <v>137.99301900550705</v>
      </c>
      <c r="BK17" s="14">
        <f t="shared" si="33"/>
        <v>496.7748684198254</v>
      </c>
      <c r="BL17" s="14" t="str">
        <f t="shared" si="34"/>
        <v/>
      </c>
      <c r="BM17" s="14">
        <f t="shared" si="35"/>
        <v>149.99241196250765</v>
      </c>
      <c r="BN17" s="14">
        <f t="shared" si="64"/>
        <v>0.94444375402035496</v>
      </c>
      <c r="BO17" s="14">
        <f t="shared" si="65"/>
        <v>1.0588243034517941</v>
      </c>
      <c r="BP17" s="14" t="str">
        <f t="shared" si="66"/>
        <v/>
      </c>
      <c r="BQ17" s="22">
        <f t="shared" si="67"/>
        <v>0.74998574117096528</v>
      </c>
      <c r="BR17" s="14">
        <f t="shared" si="40"/>
        <v>1424.9279136438226</v>
      </c>
      <c r="BS17" s="14">
        <f t="shared" si="41"/>
        <v>106.49461249338043</v>
      </c>
      <c r="BT17" s="14">
        <f t="shared" si="68"/>
        <v>9.752408329558012</v>
      </c>
      <c r="BU17" s="14">
        <f t="shared" si="69"/>
        <v>0.72886420147223041</v>
      </c>
      <c r="BV17" s="22" t="str">
        <f t="shared" si="70"/>
        <v/>
      </c>
      <c r="BW17" s="14" t="e">
        <f t="shared" si="71"/>
        <v>#N/A</v>
      </c>
      <c r="BX17" s="14" t="e">
        <f t="shared" si="72"/>
        <v>#N/A</v>
      </c>
    </row>
    <row r="18" spans="1:76" x14ac:dyDescent="0.25">
      <c r="A18" s="12" t="s">
        <v>469</v>
      </c>
      <c r="B18" s="12" t="s">
        <v>111</v>
      </c>
      <c r="C18" s="15">
        <v>46222</v>
      </c>
      <c r="D18" s="12" t="s">
        <v>457</v>
      </c>
      <c r="E18" s="12" t="s">
        <v>29</v>
      </c>
      <c r="F18" s="12" t="s">
        <v>41</v>
      </c>
      <c r="G18" s="16">
        <v>0.46440972222222221</v>
      </c>
      <c r="H18" s="14">
        <v>0</v>
      </c>
      <c r="I18" s="14">
        <v>71.083333333333329</v>
      </c>
      <c r="J18" s="14">
        <v>4.05</v>
      </c>
      <c r="K18" s="14">
        <v>11.6</v>
      </c>
      <c r="L18" s="14">
        <v>38.68333333333333</v>
      </c>
      <c r="M18" s="14">
        <v>26.81666666666667</v>
      </c>
      <c r="N18" s="14">
        <v>116.98333333333331</v>
      </c>
      <c r="O18" s="14">
        <v>0</v>
      </c>
      <c r="P18" s="14">
        <v>0.56746055645718996</v>
      </c>
      <c r="Q18" s="14">
        <v>0.55256306869115623</v>
      </c>
      <c r="R18" s="14">
        <v>1.005496809016533</v>
      </c>
      <c r="S18" s="14">
        <v>27.609909695058061</v>
      </c>
      <c r="T18" s="14">
        <v>19.892928271907479</v>
      </c>
      <c r="U18" s="14">
        <v>96.565811989808935</v>
      </c>
      <c r="V18" s="18"/>
      <c r="W18" s="18"/>
      <c r="X18" s="18"/>
      <c r="Y18" s="18"/>
      <c r="Z18" s="18"/>
      <c r="AA18" s="14" t="str">
        <f>IF(AND(D18&lt;&gt;"EV",D18&lt;&gt;"Diesel"),"Invalid vehicle",IF(COUNTIFS(Routes[Corridor],E18,Routes[Direction],F18)=0,"Unknown route",IF(C18="","Missing date",IF(SUM(O18:U18)&lt;=0,"No distance","OK"))))</f>
        <v>OK</v>
      </c>
      <c r="AB18" s="17">
        <f t="shared" si="47"/>
        <v>46204</v>
      </c>
      <c r="AC18" s="14">
        <f>--(COUNTIFS($C$5:C18,C18,$D$5:D18,D18,$G$5:G18,G18,$F$5:F18,F18)=1)</f>
        <v>1</v>
      </c>
      <c r="AD18" s="14">
        <f t="shared" si="1"/>
        <v>0</v>
      </c>
      <c r="AE18" s="14">
        <f t="shared" si="2"/>
        <v>1</v>
      </c>
      <c r="AF18" s="14">
        <f t="shared" si="48"/>
        <v>0</v>
      </c>
      <c r="AG18" s="14">
        <f>SUMIFS(Routes[Net elevation (m)],Routes[Corridor],E18,Routes[Direction],F18)</f>
        <v>-5</v>
      </c>
      <c r="AH18" s="14">
        <f t="shared" si="4"/>
        <v>14500</v>
      </c>
      <c r="AI18" s="14">
        <f t="shared" si="5"/>
        <v>0.25</v>
      </c>
      <c r="AJ18" s="14">
        <f t="shared" si="6"/>
        <v>8.1</v>
      </c>
      <c r="AK18" s="14">
        <f t="shared" si="49"/>
        <v>146.19417039093935</v>
      </c>
      <c r="AL18" s="14">
        <f t="shared" si="50"/>
        <v>4.4869444444444442</v>
      </c>
      <c r="AM18" s="14">
        <f t="shared" si="51"/>
        <v>4.4869444444444442</v>
      </c>
      <c r="AN18" s="14">
        <f t="shared" si="52"/>
        <v>1.2522222222222221</v>
      </c>
      <c r="AO18" s="14">
        <f t="shared" si="53"/>
        <v>3.2347222222222221</v>
      </c>
      <c r="AP18" s="14">
        <f t="shared" si="54"/>
        <v>44.849027767870126</v>
      </c>
      <c r="AQ18" s="14">
        <f t="shared" si="55"/>
        <v>5.2008455638786195</v>
      </c>
      <c r="AR18" s="14">
        <f t="shared" si="56"/>
        <v>42.824504481778987</v>
      </c>
      <c r="AS18" s="14">
        <f t="shared" si="57"/>
        <v>44.508727022291438</v>
      </c>
      <c r="AT18" s="14">
        <f t="shared" si="58"/>
        <v>49.527984493989493</v>
      </c>
      <c r="AU18" s="14">
        <f t="shared" si="17"/>
        <v>54.314071979970286</v>
      </c>
      <c r="AV18" s="14">
        <f t="shared" si="18"/>
        <v>8.1583353560627749</v>
      </c>
      <c r="AW18" s="14">
        <f t="shared" si="59"/>
        <v>27.801645179051519</v>
      </c>
      <c r="AX18" s="14">
        <f t="shared" si="20"/>
        <v>-0.1975625</v>
      </c>
      <c r="AY18" s="14">
        <f t="shared" si="60"/>
        <v>54.314071979970286</v>
      </c>
      <c r="AZ18" s="14">
        <f t="shared" si="22"/>
        <v>-9.8781250000000001E-2</v>
      </c>
      <c r="BA18" s="14">
        <f t="shared" si="23"/>
        <v>19.742091072988742</v>
      </c>
      <c r="BB18" s="14">
        <f t="shared" si="61"/>
        <v>82.016935909021811</v>
      </c>
      <c r="BC18" s="14">
        <f t="shared" si="25"/>
        <v>254.71098108391865</v>
      </c>
      <c r="BD18" s="14">
        <f t="shared" si="26"/>
        <v>74.86071428571428</v>
      </c>
      <c r="BE18" s="14">
        <f t="shared" si="27"/>
        <v>31.218595679012342</v>
      </c>
      <c r="BF18" s="14">
        <f t="shared" si="28"/>
        <v>0</v>
      </c>
      <c r="BG18" s="14">
        <f t="shared" si="62"/>
        <v>360.79029104864532</v>
      </c>
      <c r="BH18" s="14" t="str">
        <f t="shared" si="30"/>
        <v/>
      </c>
      <c r="BI18" s="14">
        <f t="shared" si="31"/>
        <v>1</v>
      </c>
      <c r="BJ18" s="14">
        <f t="shared" si="63"/>
        <v>360.79029104864532</v>
      </c>
      <c r="BK18" s="14">
        <f t="shared" si="33"/>
        <v>1298.8450477751232</v>
      </c>
      <c r="BL18" s="14">
        <f t="shared" si="34"/>
        <v>36.17952779317892</v>
      </c>
      <c r="BM18" s="14" t="str">
        <f t="shared" si="35"/>
        <v/>
      </c>
      <c r="BN18" s="14">
        <f t="shared" si="64"/>
        <v>2.4678842534134722</v>
      </c>
      <c r="BO18" s="14">
        <f t="shared" si="65"/>
        <v>0.40520538944111445</v>
      </c>
      <c r="BP18" s="14">
        <f t="shared" si="66"/>
        <v>4.0407981891488909</v>
      </c>
      <c r="BQ18" s="22">
        <f t="shared" si="67"/>
        <v>0.22732578437916856</v>
      </c>
      <c r="BR18" s="14">
        <f t="shared" si="40"/>
        <v>3328.5165569724604</v>
      </c>
      <c r="BS18" s="14">
        <f t="shared" si="41"/>
        <v>96.961134485719512</v>
      </c>
      <c r="BT18" s="14">
        <f t="shared" si="68"/>
        <v>22.767778961853537</v>
      </c>
      <c r="BU18" s="14">
        <f t="shared" si="69"/>
        <v>0.66323530019312493</v>
      </c>
      <c r="BV18" s="22" t="str">
        <f t="shared" si="70"/>
        <v/>
      </c>
      <c r="BW18" s="14" t="e">
        <f t="shared" si="71"/>
        <v>#N/A</v>
      </c>
      <c r="BX18" s="14" t="e">
        <f t="shared" si="72"/>
        <v>#N/A</v>
      </c>
    </row>
    <row r="19" spans="1:76" x14ac:dyDescent="0.25">
      <c r="A19" s="12" t="s">
        <v>470</v>
      </c>
      <c r="B19" s="12" t="s">
        <v>117</v>
      </c>
      <c r="C19" s="15">
        <v>46222</v>
      </c>
      <c r="D19" s="12" t="s">
        <v>300</v>
      </c>
      <c r="E19" s="12" t="s">
        <v>29</v>
      </c>
      <c r="F19" s="12" t="s">
        <v>41</v>
      </c>
      <c r="G19" s="16">
        <v>0.3823611111111111</v>
      </c>
      <c r="H19" s="14">
        <v>0</v>
      </c>
      <c r="I19" s="14">
        <v>12.03333333333333</v>
      </c>
      <c r="J19" s="14">
        <v>4.75</v>
      </c>
      <c r="K19" s="14">
        <v>0</v>
      </c>
      <c r="L19" s="14">
        <v>46.9</v>
      </c>
      <c r="M19" s="14">
        <v>35.549999999999997</v>
      </c>
      <c r="N19" s="14">
        <v>100.5468</v>
      </c>
      <c r="O19" s="14">
        <v>0</v>
      </c>
      <c r="P19" s="14">
        <v>0.37366038708160421</v>
      </c>
      <c r="Q19" s="14">
        <v>0.70152151256216355</v>
      </c>
      <c r="R19" s="14">
        <v>0</v>
      </c>
      <c r="S19" s="14">
        <v>37.607352721049807</v>
      </c>
      <c r="T19" s="14">
        <v>27.61065850344794</v>
      </c>
      <c r="U19" s="14">
        <v>81.51318776562465</v>
      </c>
      <c r="V19" s="18"/>
      <c r="W19" s="18"/>
      <c r="X19" s="18"/>
      <c r="Y19" s="18"/>
      <c r="Z19" s="18"/>
      <c r="AA19" s="14" t="str">
        <f>IF(AND(D19&lt;&gt;"EV",D19&lt;&gt;"Diesel"),"Invalid vehicle",IF(COUNTIFS(Routes[Corridor],E19,Routes[Direction],F19)=0,"Unknown route",IF(C19="","Missing date",IF(SUM(O19:U19)&lt;=0,"No distance","OK"))))</f>
        <v>OK</v>
      </c>
      <c r="AB19" s="17">
        <f t="shared" si="47"/>
        <v>46204</v>
      </c>
      <c r="AC19" s="14">
        <f>--(COUNTIFS($C$5:C19,C19,$D$5:D19,D19,$G$5:G19,G19,$F$5:F19,F19)=1)</f>
        <v>1</v>
      </c>
      <c r="AD19" s="14">
        <f t="shared" si="1"/>
        <v>0</v>
      </c>
      <c r="AE19" s="14">
        <f t="shared" si="2"/>
        <v>1</v>
      </c>
      <c r="AF19" s="14">
        <f t="shared" si="48"/>
        <v>0</v>
      </c>
      <c r="AG19" s="14">
        <f>SUMIFS(Routes[Net elevation (m)],Routes[Corridor],E19,Routes[Direction],F19)</f>
        <v>-5</v>
      </c>
      <c r="AH19" s="14">
        <f t="shared" si="4"/>
        <v>16500</v>
      </c>
      <c r="AI19" s="14">
        <f t="shared" si="5"/>
        <v>0.25</v>
      </c>
      <c r="AJ19" s="14">
        <f t="shared" si="6"/>
        <v>8.1</v>
      </c>
      <c r="AK19" s="14">
        <f t="shared" si="49"/>
        <v>147.80638088976616</v>
      </c>
      <c r="AL19" s="14">
        <f t="shared" si="50"/>
        <v>3.3296688888888886</v>
      </c>
      <c r="AM19" s="14">
        <f t="shared" si="51"/>
        <v>3.3296688888888886</v>
      </c>
      <c r="AN19" s="14">
        <f t="shared" si="52"/>
        <v>0.27972222222222221</v>
      </c>
      <c r="AO19" s="14">
        <f t="shared" si="53"/>
        <v>3.0499466666666666</v>
      </c>
      <c r="AP19" s="14">
        <f t="shared" si="54"/>
        <v>48.109431090638431</v>
      </c>
      <c r="AQ19" s="14">
        <f t="shared" si="55"/>
        <v>0</v>
      </c>
      <c r="AR19" s="14">
        <f t="shared" si="56"/>
        <v>48.111751881940052</v>
      </c>
      <c r="AS19" s="14">
        <f t="shared" si="57"/>
        <v>46.600267516367836</v>
      </c>
      <c r="AT19" s="14">
        <f t="shared" si="58"/>
        <v>48.641938539441128</v>
      </c>
      <c r="AU19" s="14">
        <f t="shared" si="17"/>
        <v>56.696857671716991</v>
      </c>
      <c r="AV19" s="14">
        <f t="shared" si="18"/>
        <v>12.731448822609183</v>
      </c>
      <c r="AW19" s="14">
        <f t="shared" si="59"/>
        <v>43.091758326202907</v>
      </c>
      <c r="AX19" s="14">
        <f t="shared" si="20"/>
        <v>-0.2248125</v>
      </c>
      <c r="AY19" s="14">
        <f t="shared" si="60"/>
        <v>56.696857671716991</v>
      </c>
      <c r="AZ19" s="14">
        <f t="shared" si="22"/>
        <v>-0.11240625</v>
      </c>
      <c r="BA19" s="14">
        <f t="shared" si="23"/>
        <v>30.472715753593725</v>
      </c>
      <c r="BB19" s="14">
        <f t="shared" si="61"/>
        <v>99.676209747919884</v>
      </c>
      <c r="BC19" s="14">
        <f t="shared" si="25"/>
        <v>120.1859404930607</v>
      </c>
      <c r="BD19" s="14">
        <f t="shared" si="26"/>
        <v>26.970317999999995</v>
      </c>
      <c r="BE19" s="14">
        <f t="shared" si="27"/>
        <v>0</v>
      </c>
      <c r="BF19" s="14">
        <f t="shared" si="28"/>
        <v>15.163528086145773</v>
      </c>
      <c r="BG19" s="14">
        <f t="shared" si="62"/>
        <v>131.99273040691494</v>
      </c>
      <c r="BH19" s="14" t="str">
        <f t="shared" si="30"/>
        <v/>
      </c>
      <c r="BI19" s="14">
        <f t="shared" si="31"/>
        <v>1</v>
      </c>
      <c r="BJ19" s="14">
        <f t="shared" si="63"/>
        <v>131.99273040691494</v>
      </c>
      <c r="BK19" s="14">
        <f t="shared" si="33"/>
        <v>475.1738294648938</v>
      </c>
      <c r="BL19" s="14" t="str">
        <f t="shared" si="34"/>
        <v/>
      </c>
      <c r="BM19" s="14">
        <f t="shared" si="35"/>
        <v>143.47035913795102</v>
      </c>
      <c r="BN19" s="14">
        <f t="shared" si="64"/>
        <v>0.89301104331453041</v>
      </c>
      <c r="BO19" s="14">
        <f t="shared" si="65"/>
        <v>1.1198069805367308</v>
      </c>
      <c r="BP19" s="14" t="str">
        <f t="shared" si="66"/>
        <v/>
      </c>
      <c r="BQ19" s="22">
        <f t="shared" si="67"/>
        <v>0.75516439004354408</v>
      </c>
      <c r="BR19" s="14">
        <f t="shared" si="40"/>
        <v>1362.9684118105347</v>
      </c>
      <c r="BS19" s="14">
        <f t="shared" si="41"/>
        <v>101.86395498794522</v>
      </c>
      <c r="BT19" s="14">
        <f t="shared" si="68"/>
        <v>9.2213096864000423</v>
      </c>
      <c r="BU19" s="14">
        <f t="shared" si="69"/>
        <v>0.68917156603621366</v>
      </c>
      <c r="BV19" s="22" t="str">
        <f t="shared" si="70"/>
        <v/>
      </c>
      <c r="BW19" s="14" t="e">
        <f t="shared" si="71"/>
        <v>#N/A</v>
      </c>
      <c r="BX19" s="14" t="e">
        <f t="shared" si="72"/>
        <v>#N/A</v>
      </c>
    </row>
    <row r="20" spans="1:76" x14ac:dyDescent="0.25">
      <c r="A20" s="12" t="s">
        <v>471</v>
      </c>
      <c r="B20" s="12" t="s">
        <v>117</v>
      </c>
      <c r="C20" s="15">
        <v>46218</v>
      </c>
      <c r="D20" s="12" t="s">
        <v>457</v>
      </c>
      <c r="E20" s="12" t="s">
        <v>29</v>
      </c>
      <c r="F20" s="12" t="s">
        <v>41</v>
      </c>
      <c r="G20" s="16">
        <v>0.47362268518518519</v>
      </c>
      <c r="H20" s="14">
        <v>0</v>
      </c>
      <c r="I20" s="14">
        <v>69.483333333333334</v>
      </c>
      <c r="J20" s="14">
        <v>9.9499999999999993</v>
      </c>
      <c r="K20" s="14">
        <v>1.2666666666666671</v>
      </c>
      <c r="L20" s="14">
        <v>25.12543333333333</v>
      </c>
      <c r="M20" s="14">
        <v>23.43333333333333</v>
      </c>
      <c r="N20" s="14">
        <v>143.44999999999999</v>
      </c>
      <c r="O20" s="14">
        <v>0</v>
      </c>
      <c r="P20" s="14">
        <v>0.83987814360898194</v>
      </c>
      <c r="Q20" s="14">
        <v>1.7979996304002079</v>
      </c>
      <c r="R20" s="14">
        <v>0.46558889600755871</v>
      </c>
      <c r="S20" s="14">
        <v>16.046588129687478</v>
      </c>
      <c r="T20" s="14">
        <v>16.779596658523619</v>
      </c>
      <c r="U20" s="14">
        <v>111.8050567661586</v>
      </c>
      <c r="V20" s="18"/>
      <c r="W20" s="18"/>
      <c r="X20" s="18"/>
      <c r="Y20" s="18"/>
      <c r="Z20" s="18"/>
      <c r="AA20" s="14" t="str">
        <f>IF(AND(D20&lt;&gt;"EV",D20&lt;&gt;"Diesel"),"Invalid vehicle",IF(COUNTIFS(Routes[Corridor],E20,Routes[Direction],F20)=0,"Unknown route",IF(C20="","Missing date",IF(SUM(O20:U20)&lt;=0,"No distance","OK"))))</f>
        <v>OK</v>
      </c>
      <c r="AB20" s="17">
        <f t="shared" si="47"/>
        <v>46204</v>
      </c>
      <c r="AC20" s="14">
        <f>--(COUNTIFS($C$5:C20,C20,$D$5:D20,D20,$G$5:G20,G20,$F$5:F20,F20)=1)</f>
        <v>1</v>
      </c>
      <c r="AD20" s="14">
        <f t="shared" si="1"/>
        <v>0</v>
      </c>
      <c r="AE20" s="14">
        <f t="shared" si="2"/>
        <v>1</v>
      </c>
      <c r="AF20" s="14">
        <f t="shared" si="48"/>
        <v>0</v>
      </c>
      <c r="AG20" s="14">
        <f>SUMIFS(Routes[Net elevation (m)],Routes[Corridor],E20,Routes[Direction],F20)</f>
        <v>-5</v>
      </c>
      <c r="AH20" s="14">
        <f t="shared" si="4"/>
        <v>14500</v>
      </c>
      <c r="AI20" s="14">
        <f t="shared" si="5"/>
        <v>0.25</v>
      </c>
      <c r="AJ20" s="14">
        <f t="shared" si="6"/>
        <v>8.1</v>
      </c>
      <c r="AK20" s="14">
        <f t="shared" si="49"/>
        <v>147.73470822438645</v>
      </c>
      <c r="AL20" s="14">
        <f t="shared" si="50"/>
        <v>4.5451461111111104</v>
      </c>
      <c r="AM20" s="14">
        <f t="shared" si="51"/>
        <v>4.5451461111111104</v>
      </c>
      <c r="AN20" s="14">
        <f t="shared" si="52"/>
        <v>1.3238888888888889</v>
      </c>
      <c r="AO20" s="14">
        <f t="shared" si="53"/>
        <v>3.2212572222222216</v>
      </c>
      <c r="AP20" s="14">
        <f t="shared" si="54"/>
        <v>45.043540593222332</v>
      </c>
      <c r="AQ20" s="14">
        <f t="shared" si="55"/>
        <v>22.05421086351593</v>
      </c>
      <c r="AR20" s="14">
        <f t="shared" si="56"/>
        <v>38.319549557934607</v>
      </c>
      <c r="AS20" s="14">
        <f t="shared" si="57"/>
        <v>42.963405384555507</v>
      </c>
      <c r="AT20" s="14">
        <f t="shared" si="58"/>
        <v>46.764053021746371</v>
      </c>
      <c r="AU20" s="14">
        <f t="shared" si="17"/>
        <v>54.303983382458085</v>
      </c>
      <c r="AV20" s="14">
        <f t="shared" si="18"/>
        <v>6.7286427554079564</v>
      </c>
      <c r="AW20" s="14">
        <f t="shared" si="59"/>
        <v>16.158022769476975</v>
      </c>
      <c r="AX20" s="14">
        <f t="shared" si="20"/>
        <v>-0.1975625</v>
      </c>
      <c r="AY20" s="14">
        <f t="shared" si="60"/>
        <v>54.303983382458085</v>
      </c>
      <c r="AZ20" s="14">
        <f t="shared" si="22"/>
        <v>-9.8781250000000001E-2</v>
      </c>
      <c r="BA20" s="14">
        <f t="shared" si="23"/>
        <v>9.5281612640690181</v>
      </c>
      <c r="BB20" s="14">
        <f t="shared" si="61"/>
        <v>70.363224901935055</v>
      </c>
      <c r="BC20" s="14">
        <f t="shared" si="25"/>
        <v>218.51933199358712</v>
      </c>
      <c r="BD20" s="14">
        <f t="shared" si="26"/>
        <v>74.549095714285698</v>
      </c>
      <c r="BE20" s="14">
        <f t="shared" si="27"/>
        <v>33.005285493827159</v>
      </c>
      <c r="BF20" s="14">
        <f t="shared" si="28"/>
        <v>0</v>
      </c>
      <c r="BG20" s="14">
        <f t="shared" si="62"/>
        <v>326.0737132017</v>
      </c>
      <c r="BH20" s="14" t="str">
        <f t="shared" si="30"/>
        <v/>
      </c>
      <c r="BI20" s="14">
        <f t="shared" si="31"/>
        <v>1</v>
      </c>
      <c r="BJ20" s="14">
        <f t="shared" si="63"/>
        <v>326.0737132017</v>
      </c>
      <c r="BK20" s="14">
        <f t="shared" si="33"/>
        <v>1173.8653675261201</v>
      </c>
      <c r="BL20" s="14">
        <f t="shared" si="34"/>
        <v>32.698199652538165</v>
      </c>
      <c r="BM20" s="14" t="str">
        <f t="shared" si="35"/>
        <v/>
      </c>
      <c r="BN20" s="14">
        <f t="shared" si="64"/>
        <v>2.2071571204949607</v>
      </c>
      <c r="BO20" s="14">
        <f t="shared" si="65"/>
        <v>0.45307150574570215</v>
      </c>
      <c r="BP20" s="14">
        <f t="shared" si="66"/>
        <v>4.5181297378529734</v>
      </c>
      <c r="BQ20" s="22">
        <f t="shared" si="67"/>
        <v>0.21578932018482075</v>
      </c>
      <c r="BR20" s="14">
        <f t="shared" si="40"/>
        <v>3008.2343680335111</v>
      </c>
      <c r="BS20" s="14">
        <f t="shared" si="41"/>
        <v>87.631175068802293</v>
      </c>
      <c r="BT20" s="14">
        <f t="shared" si="68"/>
        <v>20.362407752310059</v>
      </c>
      <c r="BU20" s="14">
        <f t="shared" si="69"/>
        <v>0.59316579104555389</v>
      </c>
      <c r="BV20" s="22" t="str">
        <f t="shared" si="70"/>
        <v/>
      </c>
      <c r="BW20" s="14" t="e">
        <f t="shared" si="71"/>
        <v>#N/A</v>
      </c>
      <c r="BX20" s="14" t="e">
        <f t="shared" si="72"/>
        <v>#N/A</v>
      </c>
    </row>
    <row r="21" spans="1:76" x14ac:dyDescent="0.25">
      <c r="A21" s="12" t="s">
        <v>472</v>
      </c>
      <c r="B21" s="12" t="s">
        <v>121</v>
      </c>
      <c r="C21" s="15">
        <v>46218</v>
      </c>
      <c r="D21" s="12" t="s">
        <v>300</v>
      </c>
      <c r="E21" s="12" t="s">
        <v>29</v>
      </c>
      <c r="F21" s="12" t="s">
        <v>41</v>
      </c>
      <c r="G21" s="16">
        <v>0.35166666666666668</v>
      </c>
      <c r="H21" s="14">
        <v>0</v>
      </c>
      <c r="I21" s="14">
        <v>68.95</v>
      </c>
      <c r="J21" s="14">
        <v>8.15</v>
      </c>
      <c r="K21" s="14">
        <v>8.0166666666666675</v>
      </c>
      <c r="L21" s="14">
        <v>58.3</v>
      </c>
      <c r="M21" s="14">
        <v>42.616666666666667</v>
      </c>
      <c r="N21" s="14">
        <v>113.4713666666667</v>
      </c>
      <c r="O21" s="14">
        <v>0</v>
      </c>
      <c r="P21" s="14">
        <v>0.47498370401507511</v>
      </c>
      <c r="Q21" s="14">
        <v>0.57585003194744566</v>
      </c>
      <c r="R21" s="14">
        <v>0.62657519758941227</v>
      </c>
      <c r="S21" s="14">
        <v>45.772824782401209</v>
      </c>
      <c r="T21" s="14">
        <v>32.149418815464323</v>
      </c>
      <c r="U21" s="14">
        <v>73.935191620178145</v>
      </c>
      <c r="V21" s="18"/>
      <c r="W21" s="18"/>
      <c r="X21" s="18"/>
      <c r="Y21" s="18"/>
      <c r="Z21" s="18"/>
      <c r="AA21" s="14" t="str">
        <f>IF(AND(D21&lt;&gt;"EV",D21&lt;&gt;"Diesel"),"Invalid vehicle",IF(COUNTIFS(Routes[Corridor],E21,Routes[Direction],F21)=0,"Unknown route",IF(C21="","Missing date",IF(SUM(O21:U21)&lt;=0,"No distance","OK"))))</f>
        <v>OK</v>
      </c>
      <c r="AB21" s="17">
        <f t="shared" si="47"/>
        <v>46204</v>
      </c>
      <c r="AC21" s="14">
        <f>--(COUNTIFS($C$5:C21,C21,$D$5:D21,D21,$G$5:G21,G21,$F$5:F21,F21)=1)</f>
        <v>1</v>
      </c>
      <c r="AD21" s="14">
        <f t="shared" si="1"/>
        <v>0</v>
      </c>
      <c r="AE21" s="14">
        <f t="shared" si="2"/>
        <v>1</v>
      </c>
      <c r="AF21" s="14">
        <f t="shared" si="48"/>
        <v>0</v>
      </c>
      <c r="AG21" s="14">
        <f>SUMIFS(Routes[Net elevation (m)],Routes[Corridor],E21,Routes[Direction],F21)</f>
        <v>-5</v>
      </c>
      <c r="AH21" s="14">
        <f t="shared" si="4"/>
        <v>16500</v>
      </c>
      <c r="AI21" s="14">
        <f t="shared" si="5"/>
        <v>0.25</v>
      </c>
      <c r="AJ21" s="14">
        <f t="shared" si="6"/>
        <v>8.1</v>
      </c>
      <c r="AK21" s="14">
        <f t="shared" si="49"/>
        <v>153.53484415159562</v>
      </c>
      <c r="AL21" s="14">
        <f t="shared" si="50"/>
        <v>4.9917450000000008</v>
      </c>
      <c r="AM21" s="14">
        <f t="shared" si="51"/>
        <v>4.9917450000000008</v>
      </c>
      <c r="AN21" s="14">
        <f t="shared" si="52"/>
        <v>1.2850000000000001</v>
      </c>
      <c r="AO21" s="14">
        <f t="shared" si="53"/>
        <v>3.7067450000000006</v>
      </c>
      <c r="AP21" s="14">
        <f t="shared" si="54"/>
        <v>41.13690324412201</v>
      </c>
      <c r="AQ21" s="14">
        <f t="shared" si="55"/>
        <v>4.6895440983822949</v>
      </c>
      <c r="AR21" s="14">
        <f t="shared" si="56"/>
        <v>47.107538369538126</v>
      </c>
      <c r="AS21" s="14">
        <f t="shared" si="57"/>
        <v>45.263162978361969</v>
      </c>
      <c r="AT21" s="14">
        <f t="shared" si="58"/>
        <v>39.094545412872328</v>
      </c>
      <c r="AU21" s="14">
        <f t="shared" si="17"/>
        <v>52.668338975851</v>
      </c>
      <c r="AV21" s="14">
        <f t="shared" si="18"/>
        <v>14.558133658982413</v>
      </c>
      <c r="AW21" s="14">
        <f t="shared" si="59"/>
        <v>52.448028396501385</v>
      </c>
      <c r="AX21" s="14">
        <f t="shared" si="20"/>
        <v>-0.2248125</v>
      </c>
      <c r="AY21" s="14">
        <f t="shared" si="60"/>
        <v>52.668338975851</v>
      </c>
      <c r="AZ21" s="14">
        <f t="shared" si="22"/>
        <v>-0.11240625</v>
      </c>
      <c r="BA21" s="14">
        <f t="shared" si="23"/>
        <v>38.002300987518971</v>
      </c>
      <c r="BB21" s="14">
        <f t="shared" si="61"/>
        <v>105.00396112235238</v>
      </c>
      <c r="BC21" s="14">
        <f t="shared" si="25"/>
        <v>126.60994890257719</v>
      </c>
      <c r="BD21" s="14">
        <f t="shared" si="26"/>
        <v>40.433134500000001</v>
      </c>
      <c r="BE21" s="14">
        <f t="shared" si="27"/>
        <v>0</v>
      </c>
      <c r="BF21" s="14">
        <f t="shared" si="28"/>
        <v>18.910324994399314</v>
      </c>
      <c r="BG21" s="14">
        <f t="shared" si="62"/>
        <v>148.13275840817789</v>
      </c>
      <c r="BH21" s="14" t="str">
        <f t="shared" si="30"/>
        <v/>
      </c>
      <c r="BI21" s="14">
        <f t="shared" si="31"/>
        <v>1</v>
      </c>
      <c r="BJ21" s="14">
        <f t="shared" si="63"/>
        <v>148.13275840817789</v>
      </c>
      <c r="BK21" s="14">
        <f t="shared" si="33"/>
        <v>533.27793026944039</v>
      </c>
      <c r="BL21" s="14" t="str">
        <f t="shared" si="34"/>
        <v/>
      </c>
      <c r="BM21" s="14">
        <f t="shared" si="35"/>
        <v>161.01386783497597</v>
      </c>
      <c r="BN21" s="14">
        <f t="shared" si="64"/>
        <v>0.96481524585986567</v>
      </c>
      <c r="BO21" s="14">
        <f t="shared" si="65"/>
        <v>1.0364678670772629</v>
      </c>
      <c r="BP21" s="14" t="str">
        <f t="shared" si="66"/>
        <v/>
      </c>
      <c r="BQ21" s="22">
        <f t="shared" si="67"/>
        <v>0.70885037348062696</v>
      </c>
      <c r="BR21" s="14">
        <f t="shared" si="40"/>
        <v>1529.6317444322717</v>
      </c>
      <c r="BS21" s="14">
        <f t="shared" si="41"/>
        <v>114.31984616283293</v>
      </c>
      <c r="BT21" s="14">
        <f t="shared" si="68"/>
        <v>9.9627661257268745</v>
      </c>
      <c r="BU21" s="14">
        <f t="shared" si="69"/>
        <v>0.74458567887011373</v>
      </c>
      <c r="BV21" s="22" t="str">
        <f t="shared" si="70"/>
        <v/>
      </c>
      <c r="BW21" s="14" t="e">
        <f t="shared" si="71"/>
        <v>#N/A</v>
      </c>
      <c r="BX21" s="14" t="e">
        <f t="shared" si="72"/>
        <v>#N/A</v>
      </c>
    </row>
    <row r="22" spans="1:76" x14ac:dyDescent="0.25">
      <c r="A22" s="12" t="s">
        <v>473</v>
      </c>
      <c r="B22" s="12" t="s">
        <v>121</v>
      </c>
      <c r="C22" s="15">
        <v>46290</v>
      </c>
      <c r="D22" s="12" t="s">
        <v>457</v>
      </c>
      <c r="E22" s="12" t="s">
        <v>29</v>
      </c>
      <c r="F22" s="12" t="s">
        <v>41</v>
      </c>
      <c r="G22" s="16">
        <v>0.60219907407407403</v>
      </c>
      <c r="H22" s="14">
        <v>0</v>
      </c>
      <c r="I22" s="14">
        <v>48.18333333333333</v>
      </c>
      <c r="J22" s="14">
        <v>17.666666666666671</v>
      </c>
      <c r="K22" s="14">
        <v>9.9</v>
      </c>
      <c r="L22" s="14">
        <v>51.033333333333331</v>
      </c>
      <c r="M22" s="14">
        <v>37.133333333333333</v>
      </c>
      <c r="N22" s="14">
        <v>121.65</v>
      </c>
      <c r="O22" s="14">
        <v>0</v>
      </c>
      <c r="P22" s="14">
        <v>0.65269298090049266</v>
      </c>
      <c r="Q22" s="14">
        <v>1.4671353884529701</v>
      </c>
      <c r="R22" s="14">
        <v>1.3169091629820999</v>
      </c>
      <c r="S22" s="14">
        <v>32.191335446084793</v>
      </c>
      <c r="T22" s="14">
        <v>24.26414905968165</v>
      </c>
      <c r="U22" s="14">
        <v>93.660439746609754</v>
      </c>
      <c r="V22" s="18"/>
      <c r="W22" s="18"/>
      <c r="X22" s="18"/>
      <c r="Y22" s="18"/>
      <c r="Z22" s="18"/>
      <c r="AA22" s="14" t="str">
        <f>IF(AND(D22&lt;&gt;"EV",D22&lt;&gt;"Diesel"),"Invalid vehicle",IF(COUNTIFS(Routes[Corridor],E22,Routes[Direction],F22)=0,"Unknown route",IF(C22="","Missing date",IF(SUM(O22:U22)&lt;=0,"No distance","OK"))))</f>
        <v>OK</v>
      </c>
      <c r="AB22" s="17">
        <f t="shared" si="47"/>
        <v>46266</v>
      </c>
      <c r="AC22" s="14">
        <f>--(COUNTIFS($C$5:C22,C22,$D$5:D22,D22,$G$5:G22,G22,$F$5:F22,F22)=1)</f>
        <v>1</v>
      </c>
      <c r="AD22" s="14">
        <f t="shared" si="1"/>
        <v>0</v>
      </c>
      <c r="AE22" s="14">
        <f t="shared" si="2"/>
        <v>1</v>
      </c>
      <c r="AF22" s="14">
        <f t="shared" si="48"/>
        <v>0</v>
      </c>
      <c r="AG22" s="14">
        <f>SUMIFS(Routes[Net elevation (m)],Routes[Corridor],E22,Routes[Direction],F22)</f>
        <v>-5</v>
      </c>
      <c r="AH22" s="14">
        <f t="shared" si="4"/>
        <v>14500</v>
      </c>
      <c r="AI22" s="14">
        <f t="shared" si="5"/>
        <v>0.25</v>
      </c>
      <c r="AJ22" s="14">
        <f t="shared" si="6"/>
        <v>8.1</v>
      </c>
      <c r="AK22" s="14">
        <f t="shared" si="49"/>
        <v>153.55266178471174</v>
      </c>
      <c r="AL22" s="14">
        <f t="shared" si="50"/>
        <v>4.7594444444444441</v>
      </c>
      <c r="AM22" s="14">
        <f t="shared" si="51"/>
        <v>4.7594444444444441</v>
      </c>
      <c r="AN22" s="14">
        <f t="shared" si="52"/>
        <v>1.0974999999999999</v>
      </c>
      <c r="AO22" s="14">
        <f t="shared" si="53"/>
        <v>3.6619444444444444</v>
      </c>
      <c r="AP22" s="14">
        <f t="shared" si="54"/>
        <v>41.353121466683596</v>
      </c>
      <c r="AQ22" s="14">
        <f t="shared" si="55"/>
        <v>7.9812676544369685</v>
      </c>
      <c r="AR22" s="14">
        <f t="shared" si="56"/>
        <v>37.847422470903091</v>
      </c>
      <c r="AS22" s="14">
        <f t="shared" si="57"/>
        <v>39.205985913309661</v>
      </c>
      <c r="AT22" s="14">
        <f t="shared" si="58"/>
        <v>46.195038099437603</v>
      </c>
      <c r="AU22" s="14">
        <f t="shared" si="17"/>
        <v>52.344838408979903</v>
      </c>
      <c r="AV22" s="14">
        <f t="shared" si="18"/>
        <v>9.225022962283381</v>
      </c>
      <c r="AW22" s="14">
        <f t="shared" si="59"/>
        <v>32.414886386682603</v>
      </c>
      <c r="AX22" s="14">
        <f t="shared" si="20"/>
        <v>-0.1975625</v>
      </c>
      <c r="AY22" s="14">
        <f t="shared" si="60"/>
        <v>52.344838408979903</v>
      </c>
      <c r="AZ22" s="14">
        <f t="shared" si="22"/>
        <v>-9.8781250000000001E-2</v>
      </c>
      <c r="BA22" s="14">
        <f t="shared" si="23"/>
        <v>23.288644674399219</v>
      </c>
      <c r="BB22" s="14">
        <f t="shared" si="61"/>
        <v>84.660943545662505</v>
      </c>
      <c r="BC22" s="14">
        <f t="shared" si="25"/>
        <v>262.92218492441771</v>
      </c>
      <c r="BD22" s="14">
        <f t="shared" si="26"/>
        <v>84.747857142857143</v>
      </c>
      <c r="BE22" s="14">
        <f t="shared" si="27"/>
        <v>27.361284722222219</v>
      </c>
      <c r="BF22" s="14">
        <f t="shared" si="28"/>
        <v>0</v>
      </c>
      <c r="BG22" s="14">
        <f t="shared" si="62"/>
        <v>375.03132678949703</v>
      </c>
      <c r="BH22" s="14" t="str">
        <f t="shared" si="30"/>
        <v/>
      </c>
      <c r="BI22" s="14">
        <f t="shared" si="31"/>
        <v>1</v>
      </c>
      <c r="BJ22" s="14">
        <f t="shared" si="63"/>
        <v>375.03132678949703</v>
      </c>
      <c r="BK22" s="14">
        <f t="shared" si="33"/>
        <v>1350.1127764421894</v>
      </c>
      <c r="BL22" s="14">
        <f t="shared" si="34"/>
        <v>37.607598229587445</v>
      </c>
      <c r="BM22" s="14" t="str">
        <f t="shared" si="35"/>
        <v/>
      </c>
      <c r="BN22" s="14">
        <f t="shared" si="64"/>
        <v>2.442362915957192</v>
      </c>
      <c r="BO22" s="14">
        <f t="shared" si="65"/>
        <v>0.40943956095406397</v>
      </c>
      <c r="BP22" s="14">
        <f t="shared" si="66"/>
        <v>4.0830222884030265</v>
      </c>
      <c r="BQ22" s="22">
        <f t="shared" si="67"/>
        <v>0.22574365792429446</v>
      </c>
      <c r="BR22" s="14">
        <f t="shared" si="40"/>
        <v>3459.8990371220448</v>
      </c>
      <c r="BS22" s="14">
        <f t="shared" si="41"/>
        <v>100.78836325529436</v>
      </c>
      <c r="BT22" s="14">
        <f t="shared" si="68"/>
        <v>22.53232862855214</v>
      </c>
      <c r="BU22" s="14">
        <f t="shared" si="69"/>
        <v>0.65637652961434501</v>
      </c>
      <c r="BV22" s="22" t="str">
        <f t="shared" si="70"/>
        <v/>
      </c>
      <c r="BW22" s="14" t="e">
        <f t="shared" si="71"/>
        <v>#N/A</v>
      </c>
      <c r="BX22" s="14" t="e">
        <f t="shared" si="72"/>
        <v>#N/A</v>
      </c>
    </row>
    <row r="23" spans="1:76" x14ac:dyDescent="0.25">
      <c r="A23" s="12" t="s">
        <v>474</v>
      </c>
      <c r="B23" s="12" t="s">
        <v>126</v>
      </c>
      <c r="C23" s="15">
        <v>46290</v>
      </c>
      <c r="D23" s="12" t="s">
        <v>300</v>
      </c>
      <c r="E23" s="12" t="s">
        <v>29</v>
      </c>
      <c r="F23" s="12" t="s">
        <v>41</v>
      </c>
      <c r="G23" s="16">
        <v>0.57353009259259258</v>
      </c>
      <c r="H23" s="14">
        <v>0</v>
      </c>
      <c r="I23" s="14">
        <v>35.56666666666667</v>
      </c>
      <c r="J23" s="14">
        <v>26.165716666666661</v>
      </c>
      <c r="K23" s="14">
        <v>2.0499999999999998</v>
      </c>
      <c r="L23" s="14">
        <v>63.035266666666672</v>
      </c>
      <c r="M23" s="14">
        <v>45.45</v>
      </c>
      <c r="N23" s="14">
        <v>75</v>
      </c>
      <c r="O23" s="14">
        <v>0</v>
      </c>
      <c r="P23" s="14">
        <v>0.59332623218911007</v>
      </c>
      <c r="Q23" s="14">
        <v>0.50673195714436814</v>
      </c>
      <c r="R23" s="14">
        <v>0.17990784099446211</v>
      </c>
      <c r="S23" s="14">
        <v>45.789637948542399</v>
      </c>
      <c r="T23" s="14">
        <v>33.363070952937612</v>
      </c>
      <c r="U23" s="14">
        <v>67.975437349422975</v>
      </c>
      <c r="V23" s="18"/>
      <c r="W23" s="18"/>
      <c r="X23" s="18"/>
      <c r="Y23" s="18"/>
      <c r="Z23" s="18"/>
      <c r="AA23" s="14" t="str">
        <f>IF(AND(D23&lt;&gt;"EV",D23&lt;&gt;"Diesel"),"Invalid vehicle",IF(COUNTIFS(Routes[Corridor],E23,Routes[Direction],F23)=0,"Unknown route",IF(C23="","Missing date",IF(SUM(O23:U23)&lt;=0,"No distance","OK"))))</f>
        <v>OK</v>
      </c>
      <c r="AB23" s="17">
        <f t="shared" si="47"/>
        <v>46266</v>
      </c>
      <c r="AC23" s="14">
        <f>--(COUNTIFS($C$5:C23,C23,$D$5:D23,D23,$G$5:G23,G23,$F$5:F23,F23)=1)</f>
        <v>1</v>
      </c>
      <c r="AD23" s="14">
        <f t="shared" si="1"/>
        <v>0</v>
      </c>
      <c r="AE23" s="14">
        <f t="shared" si="2"/>
        <v>1</v>
      </c>
      <c r="AF23" s="14">
        <f t="shared" si="48"/>
        <v>0</v>
      </c>
      <c r="AG23" s="14">
        <f>SUMIFS(Routes[Net elevation (m)],Routes[Corridor],E23,Routes[Direction],F23)</f>
        <v>-5</v>
      </c>
      <c r="AH23" s="14">
        <f t="shared" si="4"/>
        <v>16500</v>
      </c>
      <c r="AI23" s="14">
        <f t="shared" si="5"/>
        <v>0.25</v>
      </c>
      <c r="AJ23" s="14">
        <f t="shared" si="6"/>
        <v>8.1</v>
      </c>
      <c r="AK23" s="14">
        <f t="shared" si="49"/>
        <v>148.40811228123093</v>
      </c>
      <c r="AL23" s="14">
        <f t="shared" si="50"/>
        <v>4.1211275000000001</v>
      </c>
      <c r="AM23" s="14">
        <f t="shared" si="51"/>
        <v>4.1211275000000001</v>
      </c>
      <c r="AN23" s="14">
        <f t="shared" si="52"/>
        <v>1.0288730555555554</v>
      </c>
      <c r="AO23" s="14">
        <f t="shared" si="53"/>
        <v>3.0922544444444444</v>
      </c>
      <c r="AP23" s="14">
        <f t="shared" si="54"/>
        <v>47.637753211593449</v>
      </c>
      <c r="AQ23" s="14">
        <f t="shared" si="55"/>
        <v>5.2655953461793787</v>
      </c>
      <c r="AR23" s="14">
        <f t="shared" si="56"/>
        <v>43.584780745686437</v>
      </c>
      <c r="AS23" s="14">
        <f t="shared" si="57"/>
        <v>44.04365802368001</v>
      </c>
      <c r="AT23" s="14">
        <f t="shared" si="58"/>
        <v>54.380349879538379</v>
      </c>
      <c r="AU23" s="14">
        <f t="shared" si="17"/>
        <v>55.621188246518948</v>
      </c>
      <c r="AV23" s="14">
        <f t="shared" si="18"/>
        <v>14.862798774936465</v>
      </c>
      <c r="AW23" s="14">
        <f t="shared" si="59"/>
        <v>52.467293482704825</v>
      </c>
      <c r="AX23" s="14">
        <f t="shared" si="20"/>
        <v>-0.2248125</v>
      </c>
      <c r="AY23" s="14">
        <f t="shared" si="60"/>
        <v>55.621188246518948</v>
      </c>
      <c r="AZ23" s="14">
        <f t="shared" si="22"/>
        <v>-0.11240625</v>
      </c>
      <c r="BA23" s="14">
        <f t="shared" si="23"/>
        <v>37.71690095776836</v>
      </c>
      <c r="BB23" s="14">
        <f t="shared" si="61"/>
        <v>107.97607547922377</v>
      </c>
      <c r="BC23" s="14">
        <f t="shared" si="25"/>
        <v>130.19361605983454</v>
      </c>
      <c r="BD23" s="14">
        <f t="shared" si="26"/>
        <v>33.381132749999999</v>
      </c>
      <c r="BE23" s="14">
        <f t="shared" si="27"/>
        <v>0</v>
      </c>
      <c r="BF23" s="14">
        <f t="shared" si="28"/>
        <v>18.768307085595112</v>
      </c>
      <c r="BG23" s="14">
        <f t="shared" si="62"/>
        <v>144.80644172423945</v>
      </c>
      <c r="BH23" s="14" t="str">
        <f t="shared" si="30"/>
        <v/>
      </c>
      <c r="BI23" s="14">
        <f t="shared" si="31"/>
        <v>1</v>
      </c>
      <c r="BJ23" s="14">
        <f t="shared" si="63"/>
        <v>144.80644172423945</v>
      </c>
      <c r="BK23" s="14">
        <f t="shared" si="33"/>
        <v>521.30319020726199</v>
      </c>
      <c r="BL23" s="14" t="str">
        <f t="shared" si="34"/>
        <v/>
      </c>
      <c r="BM23" s="14">
        <f t="shared" si="35"/>
        <v>157.39830622199941</v>
      </c>
      <c r="BN23" s="14">
        <f t="shared" si="64"/>
        <v>0.97573130941678998</v>
      </c>
      <c r="BO23" s="14">
        <f t="shared" si="65"/>
        <v>1.0248723089532874</v>
      </c>
      <c r="BP23" s="14" t="str">
        <f t="shared" si="66"/>
        <v/>
      </c>
      <c r="BQ23" s="22">
        <f t="shared" si="67"/>
        <v>0.74565795688044612</v>
      </c>
      <c r="BR23" s="14">
        <f t="shared" si="40"/>
        <v>1495.2839091089943</v>
      </c>
      <c r="BS23" s="14">
        <f t="shared" si="41"/>
        <v>111.75279741761958</v>
      </c>
      <c r="BT23" s="14">
        <f t="shared" si="68"/>
        <v>10.075486347238593</v>
      </c>
      <c r="BU23" s="14">
        <f t="shared" si="69"/>
        <v>0.75301003226730534</v>
      </c>
      <c r="BV23" s="22" t="str">
        <f t="shared" si="70"/>
        <v/>
      </c>
      <c r="BW23" s="14" t="e">
        <f t="shared" si="71"/>
        <v>#N/A</v>
      </c>
      <c r="BX23" s="14" t="e">
        <f t="shared" si="72"/>
        <v>#N/A</v>
      </c>
    </row>
    <row r="24" spans="1:76" x14ac:dyDescent="0.25">
      <c r="A24" s="12" t="s">
        <v>475</v>
      </c>
      <c r="B24" s="12" t="s">
        <v>126</v>
      </c>
      <c r="C24" s="15">
        <v>46218</v>
      </c>
      <c r="D24" s="12" t="s">
        <v>457</v>
      </c>
      <c r="E24" s="12" t="s">
        <v>29</v>
      </c>
      <c r="F24" s="12" t="s">
        <v>41</v>
      </c>
      <c r="G24" s="16">
        <v>0.47248842592592594</v>
      </c>
      <c r="H24" s="14">
        <v>0</v>
      </c>
      <c r="I24" s="14">
        <v>69.483333333333334</v>
      </c>
      <c r="J24" s="14">
        <v>9.9499999999999993</v>
      </c>
      <c r="K24" s="14">
        <v>1.716666666666667</v>
      </c>
      <c r="L24" s="14">
        <v>25.133333333333329</v>
      </c>
      <c r="M24" s="14">
        <v>23.43333333333333</v>
      </c>
      <c r="N24" s="14">
        <v>144.6333333333333</v>
      </c>
      <c r="O24" s="14">
        <v>0</v>
      </c>
      <c r="P24" s="14">
        <v>0.83987814360898194</v>
      </c>
      <c r="Q24" s="14">
        <v>1.7979996304002079</v>
      </c>
      <c r="R24" s="14">
        <v>0.57590785271071809</v>
      </c>
      <c r="S24" s="14">
        <v>16.043682536598411</v>
      </c>
      <c r="T24" s="14">
        <v>16.779596658523619</v>
      </c>
      <c r="U24" s="14">
        <v>112.1322772301322</v>
      </c>
      <c r="V24" s="18"/>
      <c r="W24" s="18"/>
      <c r="X24" s="18"/>
      <c r="Y24" s="18"/>
      <c r="Z24" s="18"/>
      <c r="AA24" s="14" t="str">
        <f>IF(AND(D24&lt;&gt;"EV",D24&lt;&gt;"Diesel"),"Invalid vehicle",IF(COUNTIFS(Routes[Corridor],E24,Routes[Direction],F24)=0,"Unknown route",IF(C24="","Missing date",IF(SUM(O24:U24)&lt;=0,"No distance","OK"))))</f>
        <v>OK</v>
      </c>
      <c r="AB24" s="17">
        <f t="shared" si="47"/>
        <v>46204</v>
      </c>
      <c r="AC24" s="14">
        <f>--(COUNTIFS($C$5:C24,C24,$D$5:D24,D24,$G$5:G24,G24,$F$5:F24,F24)=1)</f>
        <v>0</v>
      </c>
      <c r="AD24" s="14">
        <f t="shared" si="1"/>
        <v>0</v>
      </c>
      <c r="AE24" s="14">
        <f t="shared" si="2"/>
        <v>1</v>
      </c>
      <c r="AF24" s="14">
        <f t="shared" si="48"/>
        <v>0</v>
      </c>
      <c r="AG24" s="14">
        <f>SUMIFS(Routes[Net elevation (m)],Routes[Corridor],E24,Routes[Direction],F24)</f>
        <v>-5</v>
      </c>
      <c r="AH24" s="14">
        <f t="shared" si="4"/>
        <v>14500</v>
      </c>
      <c r="AI24" s="14">
        <f t="shared" si="5"/>
        <v>0.25</v>
      </c>
      <c r="AJ24" s="14">
        <f t="shared" si="6"/>
        <v>8.1</v>
      </c>
      <c r="AK24" s="14">
        <f t="shared" si="49"/>
        <v>148.16934205197413</v>
      </c>
      <c r="AL24" s="14">
        <f t="shared" si="50"/>
        <v>4.5724999999999998</v>
      </c>
      <c r="AM24" s="14">
        <f t="shared" si="51"/>
        <v>4.5724999999999998</v>
      </c>
      <c r="AN24" s="14">
        <f t="shared" si="52"/>
        <v>1.3238888888888889</v>
      </c>
      <c r="AO24" s="14">
        <f t="shared" si="53"/>
        <v>3.2486111111111104</v>
      </c>
      <c r="AP24" s="14">
        <f t="shared" si="54"/>
        <v>44.798056554140565</v>
      </c>
      <c r="AQ24" s="14">
        <f t="shared" si="55"/>
        <v>20.128818152995969</v>
      </c>
      <c r="AR24" s="14">
        <f t="shared" si="56"/>
        <v>38.300568389757487</v>
      </c>
      <c r="AS24" s="14">
        <f t="shared" si="57"/>
        <v>42.963405384555507</v>
      </c>
      <c r="AT24" s="14">
        <f t="shared" si="58"/>
        <v>46.517192674403788</v>
      </c>
      <c r="AU24" s="14">
        <f t="shared" si="17"/>
        <v>54.29699390227799</v>
      </c>
      <c r="AV24" s="14">
        <f t="shared" si="18"/>
        <v>6.7286427554079564</v>
      </c>
      <c r="AW24" s="14">
        <f t="shared" si="59"/>
        <v>16.155096998658124</v>
      </c>
      <c r="AX24" s="14">
        <f t="shared" si="20"/>
        <v>-0.1975625</v>
      </c>
      <c r="AY24" s="14">
        <f t="shared" si="60"/>
        <v>54.29699390227799</v>
      </c>
      <c r="AZ24" s="14">
        <f t="shared" si="22"/>
        <v>-9.8781250000000001E-2</v>
      </c>
      <c r="BA24" s="14">
        <f t="shared" si="23"/>
        <v>9.5252354932501664</v>
      </c>
      <c r="BB24" s="14">
        <f t="shared" si="61"/>
        <v>70.353309650936112</v>
      </c>
      <c r="BC24" s="14">
        <f t="shared" si="25"/>
        <v>218.48853928862147</v>
      </c>
      <c r="BD24" s="14">
        <f t="shared" si="26"/>
        <v>75.182142857142836</v>
      </c>
      <c r="BE24" s="14">
        <f t="shared" si="27"/>
        <v>33.005285493827159</v>
      </c>
      <c r="BF24" s="14">
        <f t="shared" si="28"/>
        <v>0</v>
      </c>
      <c r="BG24" s="14">
        <f t="shared" si="62"/>
        <v>326.67596763959148</v>
      </c>
      <c r="BH24" s="14" t="str">
        <f t="shared" si="30"/>
        <v/>
      </c>
      <c r="BI24" s="14">
        <f t="shared" si="31"/>
        <v>1</v>
      </c>
      <c r="BJ24" s="14">
        <f t="shared" si="63"/>
        <v>326.67596763959148</v>
      </c>
      <c r="BK24" s="14">
        <f t="shared" si="33"/>
        <v>1176.0334835025294</v>
      </c>
      <c r="BL24" s="14">
        <f t="shared" si="34"/>
        <v>32.758592855223661</v>
      </c>
      <c r="BM24" s="14" t="str">
        <f t="shared" si="35"/>
        <v/>
      </c>
      <c r="BN24" s="14">
        <f t="shared" si="64"/>
        <v>2.2047473729417093</v>
      </c>
      <c r="BO24" s="14">
        <f t="shared" si="65"/>
        <v>0.45356670440919433</v>
      </c>
      <c r="BP24" s="14">
        <f t="shared" si="66"/>
        <v>4.5230679689694657</v>
      </c>
      <c r="BQ24" s="22">
        <f t="shared" si="67"/>
        <v>0.21536114260034611</v>
      </c>
      <c r="BR24" s="14">
        <f t="shared" si="40"/>
        <v>3013.7905426805769</v>
      </c>
      <c r="BS24" s="14">
        <f t="shared" si="41"/>
        <v>87.793028851999424</v>
      </c>
      <c r="BT24" s="14">
        <f t="shared" si="68"/>
        <v>20.340176320843849</v>
      </c>
      <c r="BU24" s="14">
        <f t="shared" si="69"/>
        <v>0.59251817978110344</v>
      </c>
      <c r="BV24" s="22" t="str">
        <f t="shared" si="70"/>
        <v/>
      </c>
      <c r="BW24" s="14" t="e">
        <f t="shared" si="71"/>
        <v>#N/A</v>
      </c>
      <c r="BX24" s="14" t="e">
        <f t="shared" si="72"/>
        <v>#N/A</v>
      </c>
    </row>
    <row r="25" spans="1:76" x14ac:dyDescent="0.25">
      <c r="A25" s="12" t="s">
        <v>476</v>
      </c>
      <c r="B25" s="12" t="s">
        <v>129</v>
      </c>
      <c r="C25" s="15">
        <v>46219</v>
      </c>
      <c r="D25" s="12" t="s">
        <v>300</v>
      </c>
      <c r="E25" s="12" t="s">
        <v>29</v>
      </c>
      <c r="F25" s="12" t="s">
        <v>52</v>
      </c>
      <c r="G25" s="16">
        <v>0.59462962962962962</v>
      </c>
      <c r="H25" s="14">
        <v>0</v>
      </c>
      <c r="I25" s="14">
        <v>43.485533333333343</v>
      </c>
      <c r="J25" s="14">
        <v>7.55</v>
      </c>
      <c r="K25" s="14">
        <v>4.0999999999999996</v>
      </c>
      <c r="L25" s="14">
        <v>52.5</v>
      </c>
      <c r="M25" s="14">
        <v>37.471449999999997</v>
      </c>
      <c r="N25" s="14">
        <v>96.266666666666666</v>
      </c>
      <c r="O25" s="14">
        <v>0</v>
      </c>
      <c r="P25" s="14">
        <v>1.3321013582624259</v>
      </c>
      <c r="Q25" s="14">
        <v>0.75410540916294477</v>
      </c>
      <c r="R25" s="14">
        <v>0.43943113160824449</v>
      </c>
      <c r="S25" s="14">
        <v>42.768056236857731</v>
      </c>
      <c r="T25" s="14">
        <v>29.775024172432051</v>
      </c>
      <c r="U25" s="14">
        <v>68.609609149335569</v>
      </c>
      <c r="V25" s="18"/>
      <c r="W25" s="18"/>
      <c r="X25" s="18"/>
      <c r="Y25" s="18"/>
      <c r="Z25" s="18"/>
      <c r="AA25" s="14" t="str">
        <f>IF(AND(D25&lt;&gt;"EV",D25&lt;&gt;"Diesel"),"Invalid vehicle",IF(COUNTIFS(Routes[Corridor],E25,Routes[Direction],F25)=0,"Unknown route",IF(C25="","Missing date",IF(SUM(O25:U25)&lt;=0,"No distance","OK"))))</f>
        <v>OK</v>
      </c>
      <c r="AB25" s="17">
        <f t="shared" si="47"/>
        <v>46204</v>
      </c>
      <c r="AC25" s="14">
        <f>--(COUNTIFS($C$5:C25,C25,$D$5:D25,D25,$G$5:G25,G25,$F$5:F25,F25)=1)</f>
        <v>1</v>
      </c>
      <c r="AD25" s="14">
        <f t="shared" si="1"/>
        <v>0</v>
      </c>
      <c r="AE25" s="14">
        <f t="shared" si="2"/>
        <v>1</v>
      </c>
      <c r="AF25" s="14">
        <f t="shared" si="48"/>
        <v>0</v>
      </c>
      <c r="AG25" s="14">
        <f>SUMIFS(Routes[Net elevation (m)],Routes[Corridor],E25,Routes[Direction],F25)</f>
        <v>5</v>
      </c>
      <c r="AH25" s="14">
        <f t="shared" si="4"/>
        <v>16500</v>
      </c>
      <c r="AI25" s="14">
        <f t="shared" si="5"/>
        <v>0.25</v>
      </c>
      <c r="AJ25" s="14">
        <f t="shared" si="6"/>
        <v>8.1</v>
      </c>
      <c r="AK25" s="14">
        <f t="shared" si="49"/>
        <v>143.67832745765895</v>
      </c>
      <c r="AL25" s="14">
        <f t="shared" si="50"/>
        <v>4.0228941666666662</v>
      </c>
      <c r="AM25" s="14">
        <f t="shared" si="51"/>
        <v>4.0228941666666662</v>
      </c>
      <c r="AN25" s="14">
        <f t="shared" si="52"/>
        <v>0.85059222222222231</v>
      </c>
      <c r="AO25" s="14">
        <f t="shared" si="53"/>
        <v>3.1723019444444445</v>
      </c>
      <c r="AP25" s="14">
        <f t="shared" si="54"/>
        <v>44.633872553714362</v>
      </c>
      <c r="AQ25" s="14">
        <f t="shared" si="55"/>
        <v>6.4306994869499201</v>
      </c>
      <c r="AR25" s="14">
        <f t="shared" si="56"/>
        <v>48.877778556408835</v>
      </c>
      <c r="AS25" s="14">
        <f t="shared" si="57"/>
        <v>47.676336259897148</v>
      </c>
      <c r="AT25" s="14">
        <f t="shared" si="58"/>
        <v>42.762221768976467</v>
      </c>
      <c r="AU25" s="14">
        <f t="shared" si="17"/>
        <v>51.193850878534313</v>
      </c>
      <c r="AV25" s="14">
        <f t="shared" si="18"/>
        <v>13.93304680503309</v>
      </c>
      <c r="AW25" s="14">
        <f t="shared" si="59"/>
        <v>49.00506443806615</v>
      </c>
      <c r="AX25" s="14">
        <f t="shared" si="20"/>
        <v>0.2248125</v>
      </c>
      <c r="AY25" s="14">
        <f t="shared" si="60"/>
        <v>51.193850878534313</v>
      </c>
      <c r="AZ25" s="14">
        <f t="shared" si="22"/>
        <v>0.2248125</v>
      </c>
      <c r="BA25" s="14">
        <f t="shared" si="23"/>
        <v>35.072017633033056</v>
      </c>
      <c r="BB25" s="14">
        <f t="shared" si="61"/>
        <v>100.42372781660046</v>
      </c>
      <c r="BC25" s="14">
        <f t="shared" si="25"/>
        <v>121.08727053306863</v>
      </c>
      <c r="BD25" s="14">
        <f t="shared" si="26"/>
        <v>32.585442749999991</v>
      </c>
      <c r="BE25" s="14">
        <f t="shared" si="27"/>
        <v>0</v>
      </c>
      <c r="BF25" s="14">
        <f t="shared" si="28"/>
        <v>17.452186694373577</v>
      </c>
      <c r="BG25" s="14">
        <f t="shared" si="62"/>
        <v>136.22052658869504</v>
      </c>
      <c r="BH25" s="14" t="str">
        <f t="shared" si="30"/>
        <v/>
      </c>
      <c r="BI25" s="14">
        <f t="shared" si="31"/>
        <v>1</v>
      </c>
      <c r="BJ25" s="14">
        <f t="shared" si="63"/>
        <v>136.22052658869504</v>
      </c>
      <c r="BK25" s="14">
        <f t="shared" si="33"/>
        <v>490.39389571930212</v>
      </c>
      <c r="BL25" s="14" t="str">
        <f t="shared" si="34"/>
        <v/>
      </c>
      <c r="BM25" s="14">
        <f t="shared" si="35"/>
        <v>148.06578977032069</v>
      </c>
      <c r="BN25" s="14">
        <f t="shared" si="64"/>
        <v>0.94809376611680229</v>
      </c>
      <c r="BO25" s="14">
        <f t="shared" si="65"/>
        <v>1.0547479961774193</v>
      </c>
      <c r="BP25" s="14" t="str">
        <f t="shared" si="66"/>
        <v/>
      </c>
      <c r="BQ25" s="22">
        <f t="shared" si="67"/>
        <v>0.73721435624618004</v>
      </c>
      <c r="BR25" s="14">
        <f t="shared" si="40"/>
        <v>1406.6250028180466</v>
      </c>
      <c r="BS25" s="14">
        <f t="shared" si="41"/>
        <v>105.12671073692769</v>
      </c>
      <c r="BT25" s="14">
        <f t="shared" si="68"/>
        <v>9.790098671858285</v>
      </c>
      <c r="BU25" s="14">
        <f t="shared" si="69"/>
        <v>0.7316810586336191</v>
      </c>
      <c r="BV25" s="22" t="str">
        <f t="shared" si="70"/>
        <v/>
      </c>
      <c r="BW25" s="14" t="e">
        <f t="shared" si="71"/>
        <v>#N/A</v>
      </c>
      <c r="BX25" s="14" t="e">
        <f t="shared" si="72"/>
        <v>#N/A</v>
      </c>
    </row>
    <row r="26" spans="1:76" x14ac:dyDescent="0.25">
      <c r="A26" s="12" t="s">
        <v>477</v>
      </c>
      <c r="B26" s="12" t="s">
        <v>129</v>
      </c>
      <c r="C26" s="15">
        <v>46219</v>
      </c>
      <c r="D26" s="12" t="s">
        <v>457</v>
      </c>
      <c r="E26" s="12" t="s">
        <v>29</v>
      </c>
      <c r="F26" s="12" t="s">
        <v>52</v>
      </c>
      <c r="G26" s="16">
        <v>0.69298611111111108</v>
      </c>
      <c r="H26" s="14">
        <v>0</v>
      </c>
      <c r="I26" s="14">
        <v>36.983333333333327</v>
      </c>
      <c r="J26" s="14">
        <v>4.5</v>
      </c>
      <c r="K26" s="14">
        <v>1.6166666666666669</v>
      </c>
      <c r="L26" s="14">
        <v>42.43333333333333</v>
      </c>
      <c r="M26" s="14">
        <v>34.950000000000003</v>
      </c>
      <c r="N26" s="14">
        <v>121.1324333333333</v>
      </c>
      <c r="O26" s="14">
        <v>0</v>
      </c>
      <c r="P26" s="14">
        <v>0.43407803900839542</v>
      </c>
      <c r="Q26" s="14">
        <v>2.0389552164336071</v>
      </c>
      <c r="R26" s="14">
        <v>0.27011205530314503</v>
      </c>
      <c r="S26" s="14">
        <v>30.597979144685119</v>
      </c>
      <c r="T26" s="14">
        <v>25.113544257186629</v>
      </c>
      <c r="U26" s="14">
        <v>85.251434402970759</v>
      </c>
      <c r="V26" s="18"/>
      <c r="W26" s="18"/>
      <c r="X26" s="18"/>
      <c r="Y26" s="18"/>
      <c r="Z26" s="18"/>
      <c r="AA26" s="14" t="str">
        <f>IF(AND(D26&lt;&gt;"EV",D26&lt;&gt;"Diesel"),"Invalid vehicle",IF(COUNTIFS(Routes[Corridor],E26,Routes[Direction],F26)=0,"Unknown route",IF(C26="","Missing date",IF(SUM(O26:U26)&lt;=0,"No distance","OK"))))</f>
        <v>OK</v>
      </c>
      <c r="AB26" s="17">
        <f t="shared" si="47"/>
        <v>46204</v>
      </c>
      <c r="AC26" s="14">
        <f>--(COUNTIFS($C$5:C26,C26,$D$5:D26,D26,$G$5:G26,G26,$F$5:F26,F26)=1)</f>
        <v>1</v>
      </c>
      <c r="AD26" s="14">
        <f t="shared" si="1"/>
        <v>0</v>
      </c>
      <c r="AE26" s="14">
        <f t="shared" si="2"/>
        <v>1</v>
      </c>
      <c r="AF26" s="14">
        <f t="shared" si="48"/>
        <v>0</v>
      </c>
      <c r="AG26" s="14">
        <f>SUMIFS(Routes[Net elevation (m)],Routes[Corridor],E26,Routes[Direction],F26)</f>
        <v>5</v>
      </c>
      <c r="AH26" s="14">
        <f t="shared" si="4"/>
        <v>14500</v>
      </c>
      <c r="AI26" s="14">
        <f t="shared" si="5"/>
        <v>0.25</v>
      </c>
      <c r="AJ26" s="14">
        <f t="shared" si="6"/>
        <v>8.1</v>
      </c>
      <c r="AK26" s="14">
        <f t="shared" si="49"/>
        <v>143.70610311558767</v>
      </c>
      <c r="AL26" s="14">
        <f t="shared" si="50"/>
        <v>4.0269294444444439</v>
      </c>
      <c r="AM26" s="14">
        <f t="shared" si="51"/>
        <v>4.0269294444444439</v>
      </c>
      <c r="AN26" s="14">
        <f t="shared" si="52"/>
        <v>0.69138888888888883</v>
      </c>
      <c r="AO26" s="14">
        <f t="shared" si="53"/>
        <v>3.3355405555555548</v>
      </c>
      <c r="AP26" s="14">
        <f t="shared" si="54"/>
        <v>42.341883574137022</v>
      </c>
      <c r="AQ26" s="14">
        <f t="shared" si="55"/>
        <v>10.024777310219815</v>
      </c>
      <c r="AR26" s="14">
        <f t="shared" si="56"/>
        <v>43.265013715972678</v>
      </c>
      <c r="AS26" s="14">
        <f t="shared" si="57"/>
        <v>43.113380699032838</v>
      </c>
      <c r="AT26" s="14">
        <f t="shared" si="58"/>
        <v>42.22722126040766</v>
      </c>
      <c r="AU26" s="14">
        <f t="shared" si="17"/>
        <v>46.909596995640506</v>
      </c>
      <c r="AV26" s="14">
        <f t="shared" si="18"/>
        <v>10.092419624805288</v>
      </c>
      <c r="AW26" s="14">
        <f t="shared" si="59"/>
        <v>30.810465110967655</v>
      </c>
      <c r="AX26" s="14">
        <f t="shared" si="20"/>
        <v>0.1975625</v>
      </c>
      <c r="AY26" s="14">
        <f t="shared" si="60"/>
        <v>46.909596995640506</v>
      </c>
      <c r="AZ26" s="14">
        <f t="shared" si="22"/>
        <v>0.1975625</v>
      </c>
      <c r="BA26" s="14">
        <f t="shared" si="23"/>
        <v>20.718045486162367</v>
      </c>
      <c r="BB26" s="14">
        <f t="shared" si="61"/>
        <v>77.917624606608172</v>
      </c>
      <c r="BC26" s="14">
        <f t="shared" si="25"/>
        <v>241.98020064164027</v>
      </c>
      <c r="BD26" s="14">
        <f t="shared" si="26"/>
        <v>77.193938571428561</v>
      </c>
      <c r="BE26" s="14">
        <f t="shared" si="27"/>
        <v>17.236709104938267</v>
      </c>
      <c r="BF26" s="14">
        <f t="shared" si="28"/>
        <v>0</v>
      </c>
      <c r="BG26" s="14">
        <f t="shared" si="62"/>
        <v>336.41084831800708</v>
      </c>
      <c r="BH26" s="14" t="str">
        <f t="shared" si="30"/>
        <v/>
      </c>
      <c r="BI26" s="14">
        <f t="shared" si="31"/>
        <v>1</v>
      </c>
      <c r="BJ26" s="14">
        <f t="shared" si="63"/>
        <v>336.41084831800708</v>
      </c>
      <c r="BK26" s="14">
        <f t="shared" si="33"/>
        <v>1211.0790539448255</v>
      </c>
      <c r="BL26" s="14">
        <f t="shared" si="34"/>
        <v>33.734792588992356</v>
      </c>
      <c r="BM26" s="14" t="str">
        <f t="shared" si="35"/>
        <v/>
      </c>
      <c r="BN26" s="14">
        <f t="shared" si="64"/>
        <v>2.3409642389886565</v>
      </c>
      <c r="BO26" s="14">
        <f t="shared" si="65"/>
        <v>0.42717440247272637</v>
      </c>
      <c r="BP26" s="14">
        <f t="shared" si="66"/>
        <v>4.2598780691030216</v>
      </c>
      <c r="BQ26" s="22">
        <f t="shared" si="67"/>
        <v>0.23161448269632828</v>
      </c>
      <c r="BR26" s="14">
        <f t="shared" si="40"/>
        <v>3103.6009181872969</v>
      </c>
      <c r="BS26" s="14">
        <f t="shared" si="41"/>
        <v>90.409244138499517</v>
      </c>
      <c r="BT26" s="14">
        <f t="shared" si="68"/>
        <v>21.596862282814573</v>
      </c>
      <c r="BU26" s="14">
        <f t="shared" si="69"/>
        <v>0.6291259882385114</v>
      </c>
      <c r="BV26" s="22" t="str">
        <f t="shared" si="70"/>
        <v/>
      </c>
      <c r="BW26" s="14" t="e">
        <f t="shared" si="71"/>
        <v>#N/A</v>
      </c>
      <c r="BX26" s="14" t="e">
        <f t="shared" si="72"/>
        <v>#N/A</v>
      </c>
    </row>
    <row r="27" spans="1:76" x14ac:dyDescent="0.25">
      <c r="A27" s="12" t="s">
        <v>478</v>
      </c>
      <c r="B27" s="12" t="s">
        <v>136</v>
      </c>
      <c r="C27" s="15">
        <v>46219</v>
      </c>
      <c r="D27" s="12" t="s">
        <v>300</v>
      </c>
      <c r="E27" s="12" t="s">
        <v>29</v>
      </c>
      <c r="F27" s="12" t="s">
        <v>52</v>
      </c>
      <c r="G27" s="16">
        <v>0.59462962962962962</v>
      </c>
      <c r="H27" s="14">
        <v>0</v>
      </c>
      <c r="I27" s="14">
        <v>26.368866666666669</v>
      </c>
      <c r="J27" s="14">
        <v>7.3148666666666662</v>
      </c>
      <c r="K27" s="14">
        <v>0</v>
      </c>
      <c r="L27" s="14">
        <v>48.733333333333327</v>
      </c>
      <c r="M27" s="14">
        <v>36.266666666666673</v>
      </c>
      <c r="N27" s="14">
        <v>81.2</v>
      </c>
      <c r="O27" s="14">
        <v>0</v>
      </c>
      <c r="P27" s="14">
        <v>0.9969610105345994</v>
      </c>
      <c r="Q27" s="14">
        <v>0.70531249288605091</v>
      </c>
      <c r="R27" s="14">
        <v>0</v>
      </c>
      <c r="S27" s="14">
        <v>41.444028126689659</v>
      </c>
      <c r="T27" s="14">
        <v>29.143387878980331</v>
      </c>
      <c r="U27" s="14">
        <v>64.401008346932969</v>
      </c>
      <c r="V27" s="18"/>
      <c r="W27" s="18"/>
      <c r="X27" s="18"/>
      <c r="Y27" s="18"/>
      <c r="Z27" s="18"/>
      <c r="AA27" s="14" t="str">
        <f>IF(AND(D27&lt;&gt;"EV",D27&lt;&gt;"Diesel"),"Invalid vehicle",IF(COUNTIFS(Routes[Corridor],E27,Routes[Direction],F27)=0,"Unknown route",IF(C27="","Missing date",IF(SUM(O27:U27)&lt;=0,"No distance","OK"))))</f>
        <v>OK</v>
      </c>
      <c r="AB27" s="17">
        <f t="shared" si="47"/>
        <v>46204</v>
      </c>
      <c r="AC27" s="14">
        <f>--(COUNTIFS($C$5:C27,C27,$D$5:D27,D27,$G$5:G27,G27,$F$5:F27,F27)=1)</f>
        <v>0</v>
      </c>
      <c r="AD27" s="14">
        <f t="shared" si="1"/>
        <v>0</v>
      </c>
      <c r="AE27" s="14">
        <f t="shared" si="2"/>
        <v>1</v>
      </c>
      <c r="AF27" s="14">
        <f t="shared" si="48"/>
        <v>0</v>
      </c>
      <c r="AG27" s="14">
        <f>SUMIFS(Routes[Net elevation (m)],Routes[Corridor],E27,Routes[Direction],F27)</f>
        <v>5</v>
      </c>
      <c r="AH27" s="14">
        <f t="shared" si="4"/>
        <v>16500</v>
      </c>
      <c r="AI27" s="14">
        <f t="shared" si="5"/>
        <v>0.25</v>
      </c>
      <c r="AJ27" s="14">
        <f t="shared" si="6"/>
        <v>8.1</v>
      </c>
      <c r="AK27" s="14">
        <f t="shared" si="49"/>
        <v>136.6906978560236</v>
      </c>
      <c r="AL27" s="14">
        <f t="shared" si="50"/>
        <v>3.3313955555555554</v>
      </c>
      <c r="AM27" s="14">
        <f t="shared" si="51"/>
        <v>3.3313955555555554</v>
      </c>
      <c r="AN27" s="14">
        <f t="shared" si="52"/>
        <v>0.56139555555555565</v>
      </c>
      <c r="AO27" s="14">
        <f t="shared" si="53"/>
        <v>2.77</v>
      </c>
      <c r="AP27" s="14">
        <f t="shared" si="54"/>
        <v>48.732283159784465</v>
      </c>
      <c r="AQ27" s="14">
        <f t="shared" si="55"/>
        <v>0</v>
      </c>
      <c r="AR27" s="14">
        <f t="shared" si="56"/>
        <v>51.025479225746516</v>
      </c>
      <c r="AS27" s="14">
        <f t="shared" si="57"/>
        <v>48.215163770371859</v>
      </c>
      <c r="AT27" s="14">
        <f t="shared" si="58"/>
        <v>47.586951980492344</v>
      </c>
      <c r="AU27" s="14">
        <f t="shared" si="17"/>
        <v>50.951773316592252</v>
      </c>
      <c r="AV27" s="14">
        <f t="shared" si="18"/>
        <v>13.738970624252445</v>
      </c>
      <c r="AW27" s="14">
        <f t="shared" si="59"/>
        <v>47.487948895165239</v>
      </c>
      <c r="AX27" s="14">
        <f t="shared" si="20"/>
        <v>0.2248125</v>
      </c>
      <c r="AY27" s="14">
        <f t="shared" si="60"/>
        <v>50.951773316592252</v>
      </c>
      <c r="AZ27" s="14">
        <f t="shared" si="22"/>
        <v>0.2248125</v>
      </c>
      <c r="BA27" s="14">
        <f t="shared" si="23"/>
        <v>33.748978270912794</v>
      </c>
      <c r="BB27" s="14">
        <f t="shared" si="61"/>
        <v>98.664534711757497</v>
      </c>
      <c r="BC27" s="14">
        <f t="shared" si="25"/>
        <v>118.96609961024599</v>
      </c>
      <c r="BD27" s="14">
        <f t="shared" si="26"/>
        <v>26.984303999999998</v>
      </c>
      <c r="BE27" s="14">
        <f t="shared" si="27"/>
        <v>0</v>
      </c>
      <c r="BF27" s="14">
        <f t="shared" si="28"/>
        <v>16.793829077388914</v>
      </c>
      <c r="BG27" s="14">
        <f t="shared" si="62"/>
        <v>129.15657453285706</v>
      </c>
      <c r="BH27" s="14" t="str">
        <f t="shared" si="30"/>
        <v/>
      </c>
      <c r="BI27" s="14">
        <f t="shared" si="31"/>
        <v>1</v>
      </c>
      <c r="BJ27" s="14">
        <f t="shared" si="63"/>
        <v>129.15657453285706</v>
      </c>
      <c r="BK27" s="14">
        <f t="shared" si="33"/>
        <v>464.96366831828544</v>
      </c>
      <c r="BL27" s="14" t="str">
        <f t="shared" si="34"/>
        <v/>
      </c>
      <c r="BM27" s="14">
        <f t="shared" si="35"/>
        <v>140.38758101397505</v>
      </c>
      <c r="BN27" s="14">
        <f t="shared" si="64"/>
        <v>0.94488196021135074</v>
      </c>
      <c r="BO27" s="14">
        <f t="shared" si="65"/>
        <v>1.0583332544271673</v>
      </c>
      <c r="BP27" s="14" t="str">
        <f t="shared" si="66"/>
        <v/>
      </c>
      <c r="BQ27" s="22">
        <f t="shared" si="67"/>
        <v>0.76391414892052223</v>
      </c>
      <c r="BR27" s="14">
        <f t="shared" si="40"/>
        <v>1333.6820196327631</v>
      </c>
      <c r="BS27" s="14">
        <f t="shared" si="41"/>
        <v>99.675182519922288</v>
      </c>
      <c r="BT27" s="14">
        <f t="shared" si="68"/>
        <v>9.7569332847911205</v>
      </c>
      <c r="BU27" s="14">
        <f t="shared" si="69"/>
        <v>0.72920238233702062</v>
      </c>
      <c r="BV27" s="22" t="str">
        <f t="shared" si="70"/>
        <v/>
      </c>
      <c r="BW27" s="14" t="e">
        <f t="shared" si="71"/>
        <v>#N/A</v>
      </c>
      <c r="BX27" s="14" t="e">
        <f t="shared" si="72"/>
        <v>#N/A</v>
      </c>
    </row>
    <row r="28" spans="1:76" x14ac:dyDescent="0.25">
      <c r="A28" s="12" t="s">
        <v>479</v>
      </c>
      <c r="B28" s="12" t="s">
        <v>136</v>
      </c>
      <c r="C28" s="15">
        <v>46221</v>
      </c>
      <c r="D28" s="12" t="s">
        <v>457</v>
      </c>
      <c r="E28" s="12" t="s">
        <v>29</v>
      </c>
      <c r="F28" s="12" t="s">
        <v>52</v>
      </c>
      <c r="G28" s="16">
        <v>0.68094907407407412</v>
      </c>
      <c r="H28" s="14">
        <v>0</v>
      </c>
      <c r="I28" s="14">
        <v>23.716666666666669</v>
      </c>
      <c r="J28" s="14">
        <v>4.4333333333333336</v>
      </c>
      <c r="K28" s="14">
        <v>9.5500000000000007</v>
      </c>
      <c r="L28" s="14">
        <v>50.65</v>
      </c>
      <c r="M28" s="14">
        <v>34.233333333333327</v>
      </c>
      <c r="N28" s="14">
        <v>109.3</v>
      </c>
      <c r="O28" s="14">
        <v>0</v>
      </c>
      <c r="P28" s="14">
        <v>0.11699904226004509</v>
      </c>
      <c r="Q28" s="14">
        <v>0.96438076555850782</v>
      </c>
      <c r="R28" s="14">
        <v>0.77930295991607568</v>
      </c>
      <c r="S28" s="14">
        <v>36.712209444916184</v>
      </c>
      <c r="T28" s="14">
        <v>25.040527354235781</v>
      </c>
      <c r="U28" s="14">
        <v>74.293641117732662</v>
      </c>
      <c r="V28" s="18"/>
      <c r="W28" s="18"/>
      <c r="X28" s="18"/>
      <c r="Y28" s="18"/>
      <c r="Z28" s="18"/>
      <c r="AA28" s="14" t="str">
        <f>IF(AND(D28&lt;&gt;"EV",D28&lt;&gt;"Diesel"),"Invalid vehicle",IF(COUNTIFS(Routes[Corridor],E28,Routes[Direction],F28)=0,"Unknown route",IF(C28="","Missing date",IF(SUM(O28:U28)&lt;=0,"No distance","OK"))))</f>
        <v>OK</v>
      </c>
      <c r="AB28" s="17">
        <f t="shared" si="47"/>
        <v>46204</v>
      </c>
      <c r="AC28" s="14">
        <f>--(COUNTIFS($C$5:C28,C28,$D$5:D28,D28,$G$5:G28,G28,$F$5:F28,F28)=1)</f>
        <v>1</v>
      </c>
      <c r="AD28" s="14">
        <f t="shared" si="1"/>
        <v>0</v>
      </c>
      <c r="AE28" s="14">
        <f t="shared" si="2"/>
        <v>1</v>
      </c>
      <c r="AF28" s="14">
        <f t="shared" si="48"/>
        <v>0</v>
      </c>
      <c r="AG28" s="14">
        <f>SUMIFS(Routes[Net elevation (m)],Routes[Corridor],E28,Routes[Direction],F28)</f>
        <v>5</v>
      </c>
      <c r="AH28" s="14">
        <f t="shared" si="4"/>
        <v>14500</v>
      </c>
      <c r="AI28" s="14">
        <f t="shared" si="5"/>
        <v>0.25</v>
      </c>
      <c r="AJ28" s="14">
        <f t="shared" si="6"/>
        <v>8.1</v>
      </c>
      <c r="AK28" s="14">
        <f t="shared" si="49"/>
        <v>137.90706068461924</v>
      </c>
      <c r="AL28" s="14">
        <f t="shared" si="50"/>
        <v>3.8647222222222219</v>
      </c>
      <c r="AM28" s="14">
        <f t="shared" si="51"/>
        <v>3.8647222222222219</v>
      </c>
      <c r="AN28" s="14">
        <f t="shared" si="52"/>
        <v>0.46916666666666668</v>
      </c>
      <c r="AO28" s="14">
        <f t="shared" si="53"/>
        <v>3.3955555555555557</v>
      </c>
      <c r="AP28" s="14">
        <f t="shared" si="54"/>
        <v>40.295521200628478</v>
      </c>
      <c r="AQ28" s="14">
        <f t="shared" si="55"/>
        <v>4.8961442507816271</v>
      </c>
      <c r="AR28" s="14">
        <f t="shared" si="56"/>
        <v>43.489290556662809</v>
      </c>
      <c r="AS28" s="14">
        <f t="shared" si="57"/>
        <v>43.887973941211698</v>
      </c>
      <c r="AT28" s="14">
        <f t="shared" si="58"/>
        <v>40.783334556852331</v>
      </c>
      <c r="AU28" s="14">
        <f t="shared" si="17"/>
        <v>44.227665197429893</v>
      </c>
      <c r="AV28" s="14">
        <f t="shared" si="18"/>
        <v>10.176816647892545</v>
      </c>
      <c r="AW28" s="14">
        <f t="shared" si="59"/>
        <v>36.96715534383921</v>
      </c>
      <c r="AX28" s="14">
        <f t="shared" si="20"/>
        <v>0.1975625</v>
      </c>
      <c r="AY28" s="14">
        <f t="shared" si="60"/>
        <v>44.227665197429893</v>
      </c>
      <c r="AZ28" s="14">
        <f t="shared" si="22"/>
        <v>0.1975625</v>
      </c>
      <c r="BA28" s="14">
        <f t="shared" si="23"/>
        <v>26.790338695946666</v>
      </c>
      <c r="BB28" s="14">
        <f t="shared" si="61"/>
        <v>81.392383041269113</v>
      </c>
      <c r="BC28" s="14">
        <f t="shared" si="25"/>
        <v>252.77137590456246</v>
      </c>
      <c r="BD28" s="14">
        <f t="shared" si="26"/>
        <v>78.582857142857151</v>
      </c>
      <c r="BE28" s="14">
        <f t="shared" si="27"/>
        <v>11.696585648148147</v>
      </c>
      <c r="BF28" s="14">
        <f t="shared" si="28"/>
        <v>0</v>
      </c>
      <c r="BG28" s="14">
        <f t="shared" si="62"/>
        <v>343.05081869556773</v>
      </c>
      <c r="BH28" s="14" t="str">
        <f t="shared" si="30"/>
        <v/>
      </c>
      <c r="BI28" s="14">
        <f t="shared" si="31"/>
        <v>1</v>
      </c>
      <c r="BJ28" s="14">
        <f t="shared" si="63"/>
        <v>343.05081869556773</v>
      </c>
      <c r="BK28" s="14">
        <f t="shared" si="33"/>
        <v>1234.9829473040438</v>
      </c>
      <c r="BL28" s="14">
        <f t="shared" si="34"/>
        <v>34.400639200669744</v>
      </c>
      <c r="BM28" s="14" t="str">
        <f t="shared" si="35"/>
        <v/>
      </c>
      <c r="BN28" s="14">
        <f t="shared" si="64"/>
        <v>2.4875507968376862</v>
      </c>
      <c r="BO28" s="14">
        <f t="shared" si="65"/>
        <v>0.4020018410362739</v>
      </c>
      <c r="BP28" s="14">
        <f t="shared" si="66"/>
        <v>4.0088516925561759</v>
      </c>
      <c r="BQ28" s="22">
        <f t="shared" si="67"/>
        <v>0.23726042500280065</v>
      </c>
      <c r="BR28" s="14">
        <f t="shared" si="40"/>
        <v>3164.8588064616165</v>
      </c>
      <c r="BS28" s="14">
        <f t="shared" si="41"/>
        <v>92.193713057794923</v>
      </c>
      <c r="BT28" s="14">
        <f t="shared" si="68"/>
        <v>22.949215150769962</v>
      </c>
      <c r="BU28" s="14">
        <f t="shared" si="69"/>
        <v>0.66852061526155981</v>
      </c>
      <c r="BV28" s="22" t="str">
        <f t="shared" si="70"/>
        <v/>
      </c>
      <c r="BW28" s="14" t="e">
        <f t="shared" si="71"/>
        <v>#N/A</v>
      </c>
      <c r="BX28" s="14" t="e">
        <f t="shared" si="72"/>
        <v>#N/A</v>
      </c>
    </row>
    <row r="29" spans="1:76" x14ac:dyDescent="0.25">
      <c r="A29" s="12" t="s">
        <v>480</v>
      </c>
      <c r="B29" s="12" t="s">
        <v>141</v>
      </c>
      <c r="C29" s="15">
        <v>46221</v>
      </c>
      <c r="D29" s="12" t="s">
        <v>300</v>
      </c>
      <c r="E29" s="12" t="s">
        <v>29</v>
      </c>
      <c r="F29" s="12" t="s">
        <v>52</v>
      </c>
      <c r="G29" s="16">
        <v>0.59349537037037037</v>
      </c>
      <c r="H29" s="14">
        <v>0</v>
      </c>
      <c r="I29" s="14">
        <v>32.85</v>
      </c>
      <c r="J29" s="14">
        <v>9.1368999999999989</v>
      </c>
      <c r="K29" s="14">
        <v>5.6833333333333336</v>
      </c>
      <c r="L29" s="14">
        <v>57.616666666666667</v>
      </c>
      <c r="M29" s="14">
        <v>44.190649999999998</v>
      </c>
      <c r="N29" s="14">
        <v>102.23333333333331</v>
      </c>
      <c r="O29" s="14">
        <v>0</v>
      </c>
      <c r="P29" s="14">
        <v>0.5585488688475958</v>
      </c>
      <c r="Q29" s="14">
        <v>1.1280191553248591</v>
      </c>
      <c r="R29" s="14">
        <v>0.85257026986061224</v>
      </c>
      <c r="S29" s="14">
        <v>43.558503820487473</v>
      </c>
      <c r="T29" s="14">
        <v>32.438943986672427</v>
      </c>
      <c r="U29" s="14">
        <v>66.332492528405481</v>
      </c>
      <c r="V29" s="18"/>
      <c r="W29" s="18"/>
      <c r="X29" s="18"/>
      <c r="Y29" s="18"/>
      <c r="Z29" s="18"/>
      <c r="AA29" s="14" t="str">
        <f>IF(AND(D29&lt;&gt;"EV",D29&lt;&gt;"Diesel"),"Invalid vehicle",IF(COUNTIFS(Routes[Corridor],E29,Routes[Direction],F29)=0,"Unknown route",IF(C29="","Missing date",IF(SUM(O29:U29)&lt;=0,"No distance","OK"))))</f>
        <v>OK</v>
      </c>
      <c r="AB29" s="17">
        <f t="shared" si="47"/>
        <v>46204</v>
      </c>
      <c r="AC29" s="14">
        <f>--(COUNTIFS($C$5:C29,C29,$D$5:D29,D29,$G$5:G29,G29,$F$5:F29,F29)=1)</f>
        <v>1</v>
      </c>
      <c r="AD29" s="14">
        <f t="shared" si="1"/>
        <v>0</v>
      </c>
      <c r="AE29" s="14">
        <f t="shared" si="2"/>
        <v>1</v>
      </c>
      <c r="AF29" s="14">
        <f t="shared" si="48"/>
        <v>0</v>
      </c>
      <c r="AG29" s="14">
        <f>SUMIFS(Routes[Net elevation (m)],Routes[Corridor],E29,Routes[Direction],F29)</f>
        <v>5</v>
      </c>
      <c r="AH29" s="14">
        <f t="shared" si="4"/>
        <v>16500</v>
      </c>
      <c r="AI29" s="14">
        <f t="shared" si="5"/>
        <v>0.25</v>
      </c>
      <c r="AJ29" s="14">
        <f t="shared" si="6"/>
        <v>8.1</v>
      </c>
      <c r="AK29" s="14">
        <f t="shared" si="49"/>
        <v>144.86907862959845</v>
      </c>
      <c r="AL29" s="14">
        <f t="shared" si="50"/>
        <v>4.195181388888888</v>
      </c>
      <c r="AM29" s="14">
        <f t="shared" si="51"/>
        <v>4.195181388888888</v>
      </c>
      <c r="AN29" s="14">
        <f t="shared" si="52"/>
        <v>0.69978166666666664</v>
      </c>
      <c r="AO29" s="14">
        <f t="shared" si="53"/>
        <v>3.4953997222222219</v>
      </c>
      <c r="AP29" s="14">
        <f t="shared" si="54"/>
        <v>40.963129251036506</v>
      </c>
      <c r="AQ29" s="14">
        <f t="shared" si="55"/>
        <v>9.0007418519008926</v>
      </c>
      <c r="AR29" s="14">
        <f t="shared" si="56"/>
        <v>45.360316388126961</v>
      </c>
      <c r="AS29" s="14">
        <f t="shared" si="57"/>
        <v>44.044082610243244</v>
      </c>
      <c r="AT29" s="14">
        <f t="shared" si="58"/>
        <v>38.93005756476358</v>
      </c>
      <c r="AU29" s="14">
        <f t="shared" si="17"/>
        <v>48.207385587114047</v>
      </c>
      <c r="AV29" s="14">
        <f t="shared" si="18"/>
        <v>14.451194432551155</v>
      </c>
      <c r="AW29" s="14">
        <f t="shared" si="59"/>
        <v>49.9107856276419</v>
      </c>
      <c r="AX29" s="14">
        <f t="shared" si="20"/>
        <v>0.2248125</v>
      </c>
      <c r="AY29" s="14">
        <f t="shared" si="60"/>
        <v>48.207385587114047</v>
      </c>
      <c r="AZ29" s="14">
        <f t="shared" si="22"/>
        <v>0.2248125</v>
      </c>
      <c r="BA29" s="14">
        <f t="shared" si="23"/>
        <v>35.459591195090745</v>
      </c>
      <c r="BB29" s="14">
        <f t="shared" si="61"/>
        <v>98.342983714755945</v>
      </c>
      <c r="BC29" s="14">
        <f t="shared" si="25"/>
        <v>118.57838513866999</v>
      </c>
      <c r="BD29" s="14">
        <f t="shared" si="26"/>
        <v>33.980969249999994</v>
      </c>
      <c r="BE29" s="14">
        <f t="shared" si="27"/>
        <v>0</v>
      </c>
      <c r="BF29" s="14">
        <f t="shared" si="28"/>
        <v>17.645047174589102</v>
      </c>
      <c r="BG29" s="14">
        <f t="shared" si="62"/>
        <v>134.91430721408088</v>
      </c>
      <c r="BH29" s="14" t="str">
        <f t="shared" si="30"/>
        <v/>
      </c>
      <c r="BI29" s="14">
        <f t="shared" si="31"/>
        <v>1</v>
      </c>
      <c r="BJ29" s="14">
        <f t="shared" si="63"/>
        <v>134.91430721408088</v>
      </c>
      <c r="BK29" s="14">
        <f t="shared" si="33"/>
        <v>485.6915059706912</v>
      </c>
      <c r="BL29" s="14" t="str">
        <f t="shared" si="34"/>
        <v/>
      </c>
      <c r="BM29" s="14">
        <f t="shared" si="35"/>
        <v>146.64598610226182</v>
      </c>
      <c r="BN29" s="14">
        <f t="shared" si="64"/>
        <v>0.93128436026731454</v>
      </c>
      <c r="BO29" s="14">
        <f t="shared" si="65"/>
        <v>1.0737858839516659</v>
      </c>
      <c r="BP29" s="14" t="str">
        <f t="shared" si="66"/>
        <v/>
      </c>
      <c r="BQ29" s="22">
        <f t="shared" si="67"/>
        <v>0.72892924216485155</v>
      </c>
      <c r="BR29" s="14">
        <f t="shared" si="40"/>
        <v>1393.1368679714872</v>
      </c>
      <c r="BS29" s="14">
        <f t="shared" si="41"/>
        <v>104.11865013260588</v>
      </c>
      <c r="BT29" s="14">
        <f t="shared" si="68"/>
        <v>9.6165232853690075</v>
      </c>
      <c r="BU29" s="14">
        <f t="shared" si="69"/>
        <v>0.71870858238021007</v>
      </c>
      <c r="BV29" s="22" t="str">
        <f t="shared" si="70"/>
        <v/>
      </c>
      <c r="BW29" s="14" t="e">
        <f t="shared" si="71"/>
        <v>#N/A</v>
      </c>
      <c r="BX29" s="14" t="e">
        <f t="shared" si="72"/>
        <v>#N/A</v>
      </c>
    </row>
    <row r="30" spans="1:76" x14ac:dyDescent="0.25">
      <c r="A30" s="12" t="s">
        <v>481</v>
      </c>
      <c r="B30" s="12" t="s">
        <v>141</v>
      </c>
      <c r="C30" s="15">
        <v>46219</v>
      </c>
      <c r="D30" s="12" t="s">
        <v>457</v>
      </c>
      <c r="E30" s="12" t="s">
        <v>29</v>
      </c>
      <c r="F30" s="12" t="s">
        <v>52</v>
      </c>
      <c r="G30" s="16">
        <v>0.69298611111111108</v>
      </c>
      <c r="H30" s="14">
        <v>0</v>
      </c>
      <c r="I30" s="14">
        <v>36.983333333333327</v>
      </c>
      <c r="J30" s="14">
        <v>4.5</v>
      </c>
      <c r="K30" s="14">
        <v>1.6166666666666669</v>
      </c>
      <c r="L30" s="14">
        <v>42.43333333333333</v>
      </c>
      <c r="M30" s="14">
        <v>34.950000000000003</v>
      </c>
      <c r="N30" s="14">
        <v>121.1324333333333</v>
      </c>
      <c r="O30" s="14">
        <v>0</v>
      </c>
      <c r="P30" s="14">
        <v>0.43407803900839542</v>
      </c>
      <c r="Q30" s="14">
        <v>2.0574693428543021</v>
      </c>
      <c r="R30" s="14">
        <v>0.27011205530314503</v>
      </c>
      <c r="S30" s="14">
        <v>30.597979144685119</v>
      </c>
      <c r="T30" s="14">
        <v>25.113544257186629</v>
      </c>
      <c r="U30" s="14">
        <v>85.251487097446585</v>
      </c>
      <c r="V30" s="18"/>
      <c r="W30" s="18"/>
      <c r="X30" s="18"/>
      <c r="Y30" s="18"/>
      <c r="Z30" s="18"/>
      <c r="AA30" s="14" t="str">
        <f>IF(AND(D30&lt;&gt;"EV",D30&lt;&gt;"Diesel"),"Invalid vehicle",IF(COUNTIFS(Routes[Corridor],E30,Routes[Direction],F30)=0,"Unknown route",IF(C30="","Missing date",IF(SUM(O30:U30)&lt;=0,"No distance","OK"))))</f>
        <v>OK</v>
      </c>
      <c r="AB30" s="17">
        <f t="shared" si="47"/>
        <v>46204</v>
      </c>
      <c r="AC30" s="14">
        <f>--(COUNTIFS($C$5:C30,C30,$D$5:D30,D30,$G$5:G30,G30,$F$5:F30,F30)=1)</f>
        <v>0</v>
      </c>
      <c r="AD30" s="14">
        <f t="shared" si="1"/>
        <v>0</v>
      </c>
      <c r="AE30" s="14">
        <f t="shared" si="2"/>
        <v>1</v>
      </c>
      <c r="AF30" s="14">
        <f t="shared" si="48"/>
        <v>0</v>
      </c>
      <c r="AG30" s="14">
        <f>SUMIFS(Routes[Net elevation (m)],Routes[Corridor],E30,Routes[Direction],F30)</f>
        <v>5</v>
      </c>
      <c r="AH30" s="14">
        <f t="shared" si="4"/>
        <v>14500</v>
      </c>
      <c r="AI30" s="14">
        <f t="shared" si="5"/>
        <v>0.25</v>
      </c>
      <c r="AJ30" s="14">
        <f t="shared" si="6"/>
        <v>8.1</v>
      </c>
      <c r="AK30" s="14">
        <f t="shared" si="49"/>
        <v>143.72466993648419</v>
      </c>
      <c r="AL30" s="14">
        <f t="shared" si="50"/>
        <v>4.0269294444444439</v>
      </c>
      <c r="AM30" s="14">
        <f t="shared" si="51"/>
        <v>4.0269294444444439</v>
      </c>
      <c r="AN30" s="14">
        <f t="shared" si="52"/>
        <v>0.69138888888888883</v>
      </c>
      <c r="AO30" s="14">
        <f t="shared" si="53"/>
        <v>3.3355405555555548</v>
      </c>
      <c r="AP30" s="14">
        <f t="shared" si="54"/>
        <v>42.341899372018943</v>
      </c>
      <c r="AQ30" s="14">
        <f t="shared" si="55"/>
        <v>10.024777310219815</v>
      </c>
      <c r="AR30" s="14">
        <f t="shared" si="56"/>
        <v>43.265013715972678</v>
      </c>
      <c r="AS30" s="14">
        <f t="shared" si="57"/>
        <v>43.113380699032838</v>
      </c>
      <c r="AT30" s="14">
        <f t="shared" si="58"/>
        <v>42.227247361332594</v>
      </c>
      <c r="AU30" s="14">
        <f t="shared" si="17"/>
        <v>46.91475134576622</v>
      </c>
      <c r="AV30" s="14">
        <f t="shared" si="18"/>
        <v>10.092419624805288</v>
      </c>
      <c r="AW30" s="14">
        <f t="shared" si="59"/>
        <v>30.810465110967655</v>
      </c>
      <c r="AX30" s="14">
        <f t="shared" si="20"/>
        <v>0.1975625</v>
      </c>
      <c r="AY30" s="14">
        <f t="shared" si="60"/>
        <v>46.91475134576622</v>
      </c>
      <c r="AZ30" s="14">
        <f t="shared" si="22"/>
        <v>0.1975625</v>
      </c>
      <c r="BA30" s="14">
        <f t="shared" si="23"/>
        <v>20.718045486162367</v>
      </c>
      <c r="BB30" s="14">
        <f t="shared" si="61"/>
        <v>77.922778956733879</v>
      </c>
      <c r="BC30" s="14">
        <f t="shared" si="25"/>
        <v>241.99620794016732</v>
      </c>
      <c r="BD30" s="14">
        <f t="shared" si="26"/>
        <v>77.193938571428561</v>
      </c>
      <c r="BE30" s="14">
        <f t="shared" si="27"/>
        <v>17.236709104938267</v>
      </c>
      <c r="BF30" s="14">
        <f t="shared" si="28"/>
        <v>0</v>
      </c>
      <c r="BG30" s="14">
        <f t="shared" si="62"/>
        <v>336.42685561653417</v>
      </c>
      <c r="BH30" s="14" t="str">
        <f t="shared" si="30"/>
        <v/>
      </c>
      <c r="BI30" s="14">
        <f t="shared" si="31"/>
        <v>1</v>
      </c>
      <c r="BJ30" s="14">
        <f t="shared" si="63"/>
        <v>336.42685561653417</v>
      </c>
      <c r="BK30" s="14">
        <f t="shared" si="33"/>
        <v>1211.136680219523</v>
      </c>
      <c r="BL30" s="14">
        <f t="shared" si="34"/>
        <v>33.736397777702592</v>
      </c>
      <c r="BM30" s="14" t="str">
        <f t="shared" si="35"/>
        <v/>
      </c>
      <c r="BN30" s="14">
        <f t="shared" si="64"/>
        <v>2.3407732003504358</v>
      </c>
      <c r="BO30" s="14">
        <f t="shared" si="65"/>
        <v>0.42720926566071865</v>
      </c>
      <c r="BP30" s="14">
        <f t="shared" si="66"/>
        <v>4.2602257325610555</v>
      </c>
      <c r="BQ30" s="22">
        <f t="shared" si="67"/>
        <v>0.23161878326845514</v>
      </c>
      <c r="BR30" s="14">
        <f t="shared" si="40"/>
        <v>3103.7485955486386</v>
      </c>
      <c r="BS30" s="14">
        <f t="shared" si="41"/>
        <v>90.413546044242949</v>
      </c>
      <c r="BT30" s="14">
        <f t="shared" si="68"/>
        <v>21.59509983164525</v>
      </c>
      <c r="BU30" s="14">
        <f t="shared" si="69"/>
        <v>0.62907464726966589</v>
      </c>
      <c r="BV30" s="22" t="str">
        <f t="shared" si="70"/>
        <v/>
      </c>
      <c r="BW30" s="14" t="e">
        <f t="shared" si="71"/>
        <v>#N/A</v>
      </c>
      <c r="BX30" s="14" t="e">
        <f t="shared" si="72"/>
        <v>#N/A</v>
      </c>
    </row>
    <row r="31" spans="1:76" x14ac:dyDescent="0.25">
      <c r="A31" s="12" t="s">
        <v>482</v>
      </c>
      <c r="B31" s="12" t="s">
        <v>144</v>
      </c>
      <c r="C31" s="15">
        <v>46219</v>
      </c>
      <c r="D31" s="12" t="s">
        <v>300</v>
      </c>
      <c r="E31" s="12" t="s">
        <v>29</v>
      </c>
      <c r="F31" s="12" t="s">
        <v>52</v>
      </c>
      <c r="G31" s="16">
        <v>0.619537037037037</v>
      </c>
      <c r="H31" s="14">
        <v>0</v>
      </c>
      <c r="I31" s="14">
        <v>35.5</v>
      </c>
      <c r="J31" s="14">
        <v>6.9833333333333334</v>
      </c>
      <c r="K31" s="14">
        <v>4.0999999999999996</v>
      </c>
      <c r="L31" s="14">
        <v>44.283333333333331</v>
      </c>
      <c r="M31" s="14">
        <v>31.216666666666669</v>
      </c>
      <c r="N31" s="14">
        <v>83.670550000000006</v>
      </c>
      <c r="O31" s="14">
        <v>0</v>
      </c>
      <c r="P31" s="14">
        <v>1.156478673390982</v>
      </c>
      <c r="Q31" s="14">
        <v>0.51635952825814069</v>
      </c>
      <c r="R31" s="14">
        <v>0.43943113160824449</v>
      </c>
      <c r="S31" s="14">
        <v>35.860322802540047</v>
      </c>
      <c r="T31" s="14">
        <v>24.93604446973648</v>
      </c>
      <c r="U31" s="14">
        <v>61.009959080237223</v>
      </c>
      <c r="V31" s="18"/>
      <c r="W31" s="18"/>
      <c r="X31" s="18"/>
      <c r="Y31" s="18"/>
      <c r="Z31" s="18"/>
      <c r="AA31" s="14" t="str">
        <f>IF(AND(D31&lt;&gt;"EV",D31&lt;&gt;"Diesel"),"Invalid vehicle",IF(COUNTIFS(Routes[Corridor],E31,Routes[Direction],F31)=0,"Unknown route",IF(C31="","Missing date",IF(SUM(O31:U31)&lt;=0,"No distance","OK"))))</f>
        <v>OK</v>
      </c>
      <c r="AB31" s="17">
        <f t="shared" si="47"/>
        <v>46204</v>
      </c>
      <c r="AC31" s="14">
        <f>--(COUNTIFS($C$5:C31,C31,$D$5:D31,D31,$G$5:G31,G31,$F$5:F31,F31)=1)</f>
        <v>1</v>
      </c>
      <c r="AD31" s="14">
        <f t="shared" si="1"/>
        <v>0</v>
      </c>
      <c r="AE31" s="14">
        <f t="shared" si="2"/>
        <v>1</v>
      </c>
      <c r="AF31" s="14">
        <f t="shared" si="48"/>
        <v>0</v>
      </c>
      <c r="AG31" s="14">
        <f>SUMIFS(Routes[Net elevation (m)],Routes[Corridor],E31,Routes[Direction],F31)</f>
        <v>5</v>
      </c>
      <c r="AH31" s="14">
        <f t="shared" si="4"/>
        <v>16500</v>
      </c>
      <c r="AI31" s="14">
        <f t="shared" si="5"/>
        <v>0.25</v>
      </c>
      <c r="AJ31" s="14">
        <f t="shared" si="6"/>
        <v>8.1</v>
      </c>
      <c r="AK31" s="14">
        <f t="shared" si="49"/>
        <v>123.91859568577112</v>
      </c>
      <c r="AL31" s="14">
        <f t="shared" si="50"/>
        <v>3.4292313888888892</v>
      </c>
      <c r="AM31" s="14">
        <f t="shared" si="51"/>
        <v>3.4292313888888892</v>
      </c>
      <c r="AN31" s="14">
        <f t="shared" si="52"/>
        <v>0.70805555555555555</v>
      </c>
      <c r="AO31" s="14">
        <f t="shared" si="53"/>
        <v>2.7211758333333336</v>
      </c>
      <c r="AP31" s="14">
        <f t="shared" si="54"/>
        <v>44.923872976769658</v>
      </c>
      <c r="AQ31" s="14">
        <f t="shared" si="55"/>
        <v>6.4306994869499201</v>
      </c>
      <c r="AR31" s="14">
        <f t="shared" si="56"/>
        <v>48.58756570912464</v>
      </c>
      <c r="AS31" s="14">
        <f t="shared" si="57"/>
        <v>47.92832893275564</v>
      </c>
      <c r="AT31" s="14">
        <f t="shared" si="58"/>
        <v>43.750131256627732</v>
      </c>
      <c r="AU31" s="14">
        <f t="shared" si="17"/>
        <v>44.731826566002191</v>
      </c>
      <c r="AV31" s="14">
        <f t="shared" si="18"/>
        <v>11.709166541895087</v>
      </c>
      <c r="AW31" s="14">
        <f t="shared" si="59"/>
        <v>41.08995321124381</v>
      </c>
      <c r="AX31" s="14">
        <f t="shared" si="20"/>
        <v>0.2248125</v>
      </c>
      <c r="AY31" s="14">
        <f t="shared" si="60"/>
        <v>44.731826566002191</v>
      </c>
      <c r="AZ31" s="14">
        <f t="shared" si="22"/>
        <v>0.2248125</v>
      </c>
      <c r="BA31" s="14">
        <f t="shared" si="23"/>
        <v>29.380786669348723</v>
      </c>
      <c r="BB31" s="14">
        <f t="shared" si="61"/>
        <v>86.046592277246006</v>
      </c>
      <c r="BC31" s="14">
        <f t="shared" si="25"/>
        <v>103.75184454964251</v>
      </c>
      <c r="BD31" s="14">
        <f t="shared" si="26"/>
        <v>27.776774250000003</v>
      </c>
      <c r="BE31" s="14">
        <f t="shared" si="27"/>
        <v>0</v>
      </c>
      <c r="BF31" s="14">
        <f t="shared" si="28"/>
        <v>14.620173254534617</v>
      </c>
      <c r="BG31" s="14">
        <f t="shared" si="62"/>
        <v>116.9084455451079</v>
      </c>
      <c r="BH31" s="14" t="str">
        <f t="shared" si="30"/>
        <v/>
      </c>
      <c r="BI31" s="14">
        <f t="shared" si="31"/>
        <v>1</v>
      </c>
      <c r="BJ31" s="14">
        <f t="shared" si="63"/>
        <v>116.9084455451079</v>
      </c>
      <c r="BK31" s="14">
        <f t="shared" si="33"/>
        <v>420.87040396238842</v>
      </c>
      <c r="BL31" s="14" t="str">
        <f t="shared" si="34"/>
        <v/>
      </c>
      <c r="BM31" s="14">
        <f t="shared" si="35"/>
        <v>127.07439733163901</v>
      </c>
      <c r="BN31" s="14">
        <f t="shared" si="64"/>
        <v>0.94342939328945152</v>
      </c>
      <c r="BO31" s="14">
        <f t="shared" si="65"/>
        <v>1.0599627350100933</v>
      </c>
      <c r="BP31" s="14" t="str">
        <f t="shared" si="66"/>
        <v/>
      </c>
      <c r="BQ31" s="22">
        <f t="shared" si="67"/>
        <v>0.73601690516059282</v>
      </c>
      <c r="BR31" s="14">
        <f t="shared" si="40"/>
        <v>1207.2067746505707</v>
      </c>
      <c r="BS31" s="14">
        <f t="shared" si="41"/>
        <v>90.222822105463692</v>
      </c>
      <c r="BT31" s="14">
        <f t="shared" si="68"/>
        <v>9.7419339524454234</v>
      </c>
      <c r="BU31" s="14">
        <f t="shared" si="69"/>
        <v>0.7280813796038158</v>
      </c>
      <c r="BV31" s="22" t="str">
        <f t="shared" si="70"/>
        <v/>
      </c>
      <c r="BW31" s="14" t="e">
        <f t="shared" si="71"/>
        <v>#N/A</v>
      </c>
      <c r="BX31" s="14" t="e">
        <f t="shared" si="72"/>
        <v>#N/A</v>
      </c>
    </row>
    <row r="32" spans="1:76" x14ac:dyDescent="0.25">
      <c r="A32" s="12" t="s">
        <v>483</v>
      </c>
      <c r="B32" s="12" t="s">
        <v>144</v>
      </c>
      <c r="C32" s="15">
        <v>46223</v>
      </c>
      <c r="D32" s="12" t="s">
        <v>457</v>
      </c>
      <c r="E32" s="12" t="s">
        <v>29</v>
      </c>
      <c r="F32" s="12" t="s">
        <v>52</v>
      </c>
      <c r="G32" s="16">
        <v>0.70606481481481487</v>
      </c>
      <c r="H32" s="14">
        <v>0</v>
      </c>
      <c r="I32" s="14">
        <v>21.383333333333329</v>
      </c>
      <c r="J32" s="14">
        <v>1</v>
      </c>
      <c r="K32" s="14">
        <v>0</v>
      </c>
      <c r="L32" s="14">
        <v>39.18333333333333</v>
      </c>
      <c r="M32" s="14">
        <v>30.466666666666669</v>
      </c>
      <c r="N32" s="14">
        <v>102.92506666666669</v>
      </c>
      <c r="O32" s="14">
        <v>0</v>
      </c>
      <c r="P32" s="14">
        <v>0.1090721560237224</v>
      </c>
      <c r="Q32" s="14">
        <v>0.83852134333277595</v>
      </c>
      <c r="R32" s="14">
        <v>0</v>
      </c>
      <c r="S32" s="14">
        <v>28.213201619757211</v>
      </c>
      <c r="T32" s="14">
        <v>20.93633895165053</v>
      </c>
      <c r="U32" s="14">
        <v>73.844802002142799</v>
      </c>
      <c r="V32" s="18"/>
      <c r="W32" s="18"/>
      <c r="X32" s="18"/>
      <c r="Y32" s="18"/>
      <c r="Z32" s="18"/>
      <c r="AA32" s="14" t="str">
        <f>IF(AND(D32&lt;&gt;"EV",D32&lt;&gt;"Diesel"),"Invalid vehicle",IF(COUNTIFS(Routes[Corridor],E32,Routes[Direction],F32)=0,"Unknown route",IF(C32="","Missing date",IF(SUM(O32:U32)&lt;=0,"No distance","OK"))))</f>
        <v>OK</v>
      </c>
      <c r="AB32" s="17">
        <f t="shared" si="47"/>
        <v>46204</v>
      </c>
      <c r="AC32" s="14">
        <f>--(COUNTIFS($C$5:C32,C32,$D$5:D32,D32,$G$5:G32,G32,$F$5:F32,F32)=1)</f>
        <v>1</v>
      </c>
      <c r="AD32" s="14">
        <f t="shared" si="1"/>
        <v>0</v>
      </c>
      <c r="AE32" s="14">
        <f t="shared" si="2"/>
        <v>1</v>
      </c>
      <c r="AF32" s="14">
        <f t="shared" si="48"/>
        <v>0</v>
      </c>
      <c r="AG32" s="14">
        <f>SUMIFS(Routes[Net elevation (m)],Routes[Corridor],E32,Routes[Direction],F32)</f>
        <v>5</v>
      </c>
      <c r="AH32" s="14">
        <f t="shared" si="4"/>
        <v>14500</v>
      </c>
      <c r="AI32" s="14">
        <f t="shared" si="5"/>
        <v>0.25</v>
      </c>
      <c r="AJ32" s="14">
        <f t="shared" si="6"/>
        <v>8.1</v>
      </c>
      <c r="AK32" s="14">
        <f t="shared" si="49"/>
        <v>123.94193607290704</v>
      </c>
      <c r="AL32" s="14">
        <f t="shared" si="50"/>
        <v>3.2493066666666675</v>
      </c>
      <c r="AM32" s="14">
        <f t="shared" si="51"/>
        <v>3.2493066666666675</v>
      </c>
      <c r="AN32" s="14">
        <f t="shared" si="52"/>
        <v>0.37305555555555547</v>
      </c>
      <c r="AO32" s="14">
        <f t="shared" si="53"/>
        <v>2.8762511111111118</v>
      </c>
      <c r="AP32" s="14">
        <f t="shared" si="54"/>
        <v>42.762032180854035</v>
      </c>
      <c r="AQ32" s="14">
        <f t="shared" si="55"/>
        <v>0</v>
      </c>
      <c r="AR32" s="14">
        <f t="shared" si="56"/>
        <v>43.201839996225424</v>
      </c>
      <c r="AS32" s="14">
        <f t="shared" si="57"/>
        <v>41.231302092966033</v>
      </c>
      <c r="AT32" s="14">
        <f t="shared" si="58"/>
        <v>43.04770707098789</v>
      </c>
      <c r="AU32" s="14">
        <f t="shared" si="17"/>
        <v>41.262658980867741</v>
      </c>
      <c r="AV32" s="14">
        <f t="shared" si="18"/>
        <v>8.189709274464672</v>
      </c>
      <c r="AW32" s="14">
        <f t="shared" si="59"/>
        <v>28.409126631005524</v>
      </c>
      <c r="AX32" s="14">
        <f t="shared" si="20"/>
        <v>0.1975625</v>
      </c>
      <c r="AY32" s="14">
        <f t="shared" si="60"/>
        <v>41.262658980867741</v>
      </c>
      <c r="AZ32" s="14">
        <f t="shared" si="22"/>
        <v>0.1975625</v>
      </c>
      <c r="BA32" s="14">
        <f t="shared" si="23"/>
        <v>20.219417356540852</v>
      </c>
      <c r="BB32" s="14">
        <f t="shared" si="61"/>
        <v>69.869348111873265</v>
      </c>
      <c r="BC32" s="14">
        <f t="shared" si="25"/>
        <v>216.98555314246354</v>
      </c>
      <c r="BD32" s="14">
        <f t="shared" si="26"/>
        <v>66.564668571428598</v>
      </c>
      <c r="BE32" s="14">
        <f t="shared" si="27"/>
        <v>9.3004822530864164</v>
      </c>
      <c r="BF32" s="14">
        <f t="shared" si="28"/>
        <v>0</v>
      </c>
      <c r="BG32" s="14">
        <f t="shared" si="62"/>
        <v>292.85070396697859</v>
      </c>
      <c r="BH32" s="14" t="str">
        <f t="shared" si="30"/>
        <v/>
      </c>
      <c r="BI32" s="14">
        <f t="shared" si="31"/>
        <v>1</v>
      </c>
      <c r="BJ32" s="14">
        <f t="shared" si="63"/>
        <v>292.85070396697859</v>
      </c>
      <c r="BK32" s="14">
        <f t="shared" si="33"/>
        <v>1054.262534281123</v>
      </c>
      <c r="BL32" s="14">
        <f t="shared" si="34"/>
        <v>29.366644408944929</v>
      </c>
      <c r="BM32" s="14" t="str">
        <f t="shared" si="35"/>
        <v/>
      </c>
      <c r="BN32" s="14">
        <f t="shared" si="64"/>
        <v>2.3628056269406139</v>
      </c>
      <c r="BO32" s="14">
        <f t="shared" si="65"/>
        <v>0.4232256723100879</v>
      </c>
      <c r="BP32" s="14">
        <f t="shared" si="66"/>
        <v>4.2205004544255988</v>
      </c>
      <c r="BQ32" s="22">
        <f t="shared" si="67"/>
        <v>0.23858350745078499</v>
      </c>
      <c r="BR32" s="14">
        <f t="shared" si="40"/>
        <v>2701.7312856229332</v>
      </c>
      <c r="BS32" s="14">
        <f t="shared" si="41"/>
        <v>78.702607015972418</v>
      </c>
      <c r="BT32" s="14">
        <f t="shared" si="68"/>
        <v>21.798362775563543</v>
      </c>
      <c r="BU32" s="14">
        <f t="shared" si="69"/>
        <v>0.63499578520119904</v>
      </c>
      <c r="BV32" s="22" t="str">
        <f t="shared" si="70"/>
        <v/>
      </c>
      <c r="BW32" s="14" t="e">
        <f t="shared" si="71"/>
        <v>#N/A</v>
      </c>
      <c r="BX32" s="14" t="e">
        <f t="shared" si="72"/>
        <v>#N/A</v>
      </c>
    </row>
    <row r="33" spans="1:76" x14ac:dyDescent="0.25">
      <c r="A33" s="12" t="s">
        <v>484</v>
      </c>
      <c r="B33" s="12" t="s">
        <v>150</v>
      </c>
      <c r="C33" s="15">
        <v>46223</v>
      </c>
      <c r="D33" s="12" t="s">
        <v>300</v>
      </c>
      <c r="E33" s="12" t="s">
        <v>29</v>
      </c>
      <c r="F33" s="12" t="s">
        <v>52</v>
      </c>
      <c r="G33" s="16">
        <v>0.59369212962962958</v>
      </c>
      <c r="H33" s="14">
        <v>0</v>
      </c>
      <c r="I33" s="14">
        <v>34.497033333333327</v>
      </c>
      <c r="J33" s="14">
        <v>3.6833333333333331</v>
      </c>
      <c r="K33" s="14">
        <v>5.2666666666666666</v>
      </c>
      <c r="L33" s="14">
        <v>54.2</v>
      </c>
      <c r="M33" s="14">
        <v>34.928283333333333</v>
      </c>
      <c r="N33" s="14">
        <v>90.466666666666669</v>
      </c>
      <c r="O33" s="14">
        <v>0</v>
      </c>
      <c r="P33" s="14">
        <v>0.52166162348455802</v>
      </c>
      <c r="Q33" s="14">
        <v>0.55895774646599539</v>
      </c>
      <c r="R33" s="14">
        <v>0.35482326921949731</v>
      </c>
      <c r="S33" s="14">
        <v>43.320905108620543</v>
      </c>
      <c r="T33" s="14">
        <v>28.28601681705657</v>
      </c>
      <c r="U33" s="14">
        <v>70.673195048294886</v>
      </c>
      <c r="V33" s="18"/>
      <c r="W33" s="18"/>
      <c r="X33" s="18"/>
      <c r="Y33" s="18"/>
      <c r="Z33" s="18"/>
      <c r="AA33" s="14" t="str">
        <f>IF(AND(D33&lt;&gt;"EV",D33&lt;&gt;"Diesel"),"Invalid vehicle",IF(COUNTIFS(Routes[Corridor],E33,Routes[Direction],F33)=0,"Unknown route",IF(C33="","Missing date",IF(SUM(O33:U33)&lt;=0,"No distance","OK"))))</f>
        <v>OK</v>
      </c>
      <c r="AB33" s="17">
        <f t="shared" si="47"/>
        <v>46204</v>
      </c>
      <c r="AC33" s="14">
        <f>--(COUNTIFS($C$5:C33,C33,$D$5:D33,D33,$G$5:G33,G33,$F$5:F33,F33)=1)</f>
        <v>1</v>
      </c>
      <c r="AD33" s="14">
        <f t="shared" si="1"/>
        <v>0</v>
      </c>
      <c r="AE33" s="14">
        <f t="shared" si="2"/>
        <v>1</v>
      </c>
      <c r="AF33" s="14">
        <f t="shared" si="48"/>
        <v>0</v>
      </c>
      <c r="AG33" s="14">
        <f>SUMIFS(Routes[Net elevation (m)],Routes[Corridor],E33,Routes[Direction],F33)</f>
        <v>5</v>
      </c>
      <c r="AH33" s="14">
        <f t="shared" si="4"/>
        <v>16500</v>
      </c>
      <c r="AI33" s="14">
        <f t="shared" si="5"/>
        <v>0.25</v>
      </c>
      <c r="AJ33" s="14">
        <f t="shared" si="6"/>
        <v>8.1</v>
      </c>
      <c r="AK33" s="14">
        <f t="shared" si="49"/>
        <v>143.71555961314203</v>
      </c>
      <c r="AL33" s="14">
        <f t="shared" si="50"/>
        <v>3.7173663888888888</v>
      </c>
      <c r="AM33" s="14">
        <f t="shared" si="51"/>
        <v>3.7173663888888888</v>
      </c>
      <c r="AN33" s="14">
        <f t="shared" si="52"/>
        <v>0.63633944444444424</v>
      </c>
      <c r="AO33" s="14">
        <f t="shared" si="53"/>
        <v>3.0810269444444445</v>
      </c>
      <c r="AP33" s="14">
        <f t="shared" si="54"/>
        <v>46.2946098216972</v>
      </c>
      <c r="AQ33" s="14">
        <f t="shared" si="55"/>
        <v>4.0422904088297162</v>
      </c>
      <c r="AR33" s="14">
        <f t="shared" si="56"/>
        <v>47.95672152245816</v>
      </c>
      <c r="AS33" s="14">
        <f t="shared" si="57"/>
        <v>48.589877516360261</v>
      </c>
      <c r="AT33" s="14">
        <f t="shared" si="58"/>
        <v>46.872421181625199</v>
      </c>
      <c r="AU33" s="14">
        <f t="shared" si="17"/>
        <v>53.511269495596977</v>
      </c>
      <c r="AV33" s="14">
        <f t="shared" si="18"/>
        <v>13.403940821097969</v>
      </c>
      <c r="AW33" s="14">
        <f t="shared" si="59"/>
        <v>49.638537103627712</v>
      </c>
      <c r="AX33" s="14">
        <f t="shared" si="20"/>
        <v>0.2248125</v>
      </c>
      <c r="AY33" s="14">
        <f t="shared" si="60"/>
        <v>53.511269495596977</v>
      </c>
      <c r="AZ33" s="14">
        <f t="shared" si="22"/>
        <v>0.2248125</v>
      </c>
      <c r="BA33" s="14">
        <f t="shared" si="23"/>
        <v>36.234596282529743</v>
      </c>
      <c r="BB33" s="14">
        <f t="shared" si="61"/>
        <v>103.37461909922469</v>
      </c>
      <c r="BC33" s="14">
        <f t="shared" si="25"/>
        <v>124.64534768098474</v>
      </c>
      <c r="BD33" s="14">
        <f t="shared" si="26"/>
        <v>30.110667749999998</v>
      </c>
      <c r="BE33" s="14">
        <f t="shared" si="27"/>
        <v>0</v>
      </c>
      <c r="BF33" s="14">
        <f t="shared" si="28"/>
        <v>18.030697456149625</v>
      </c>
      <c r="BG33" s="14">
        <f t="shared" si="62"/>
        <v>136.72531797483512</v>
      </c>
      <c r="BH33" s="14" t="str">
        <f t="shared" si="30"/>
        <v/>
      </c>
      <c r="BI33" s="14">
        <f t="shared" si="31"/>
        <v>1</v>
      </c>
      <c r="BJ33" s="14">
        <f t="shared" si="63"/>
        <v>136.72531797483512</v>
      </c>
      <c r="BK33" s="14">
        <f t="shared" si="33"/>
        <v>492.21114470940643</v>
      </c>
      <c r="BL33" s="14" t="str">
        <f t="shared" si="34"/>
        <v/>
      </c>
      <c r="BM33" s="14">
        <f t="shared" si="35"/>
        <v>148.61447605960339</v>
      </c>
      <c r="BN33" s="14">
        <f t="shared" si="64"/>
        <v>0.95136057879102676</v>
      </c>
      <c r="BO33" s="14">
        <f t="shared" si="65"/>
        <v>1.0511261684510655</v>
      </c>
      <c r="BP33" s="14" t="str">
        <f t="shared" si="66"/>
        <v/>
      </c>
      <c r="BQ33" s="22">
        <f t="shared" si="67"/>
        <v>0.75607517781199252</v>
      </c>
      <c r="BR33" s="14">
        <f t="shared" si="40"/>
        <v>1411.8375225662321</v>
      </c>
      <c r="BS33" s="14">
        <f t="shared" si="41"/>
        <v>105.5162780023184</v>
      </c>
      <c r="BT33" s="14">
        <f t="shared" si="68"/>
        <v>9.8238320636029925</v>
      </c>
      <c r="BU33" s="14">
        <f t="shared" si="69"/>
        <v>0.73420218580611851</v>
      </c>
      <c r="BV33" s="22" t="str">
        <f t="shared" si="70"/>
        <v/>
      </c>
      <c r="BW33" s="14" t="e">
        <f t="shared" si="71"/>
        <v>#N/A</v>
      </c>
      <c r="BX33" s="14" t="e">
        <f t="shared" si="72"/>
        <v>#N/A</v>
      </c>
    </row>
    <row r="34" spans="1:76" x14ac:dyDescent="0.25">
      <c r="A34" s="12" t="s">
        <v>485</v>
      </c>
      <c r="B34" s="12" t="s">
        <v>150</v>
      </c>
      <c r="C34" s="15">
        <v>46219</v>
      </c>
      <c r="D34" s="12" t="s">
        <v>457</v>
      </c>
      <c r="E34" s="12" t="s">
        <v>29</v>
      </c>
      <c r="F34" s="12" t="s">
        <v>52</v>
      </c>
      <c r="G34" s="16">
        <v>0.69298611111111108</v>
      </c>
      <c r="H34" s="14">
        <v>0</v>
      </c>
      <c r="I34" s="14">
        <v>36.983333333333327</v>
      </c>
      <c r="J34" s="14">
        <v>4.5</v>
      </c>
      <c r="K34" s="14">
        <v>1.6166666666666669</v>
      </c>
      <c r="L34" s="14">
        <v>42.43333333333333</v>
      </c>
      <c r="M34" s="14">
        <v>34.950000000000003</v>
      </c>
      <c r="N34" s="14">
        <v>121.1324333333333</v>
      </c>
      <c r="O34" s="14">
        <v>0</v>
      </c>
      <c r="P34" s="14">
        <v>0.43407803900839542</v>
      </c>
      <c r="Q34" s="14">
        <v>2.0373023196522468</v>
      </c>
      <c r="R34" s="14">
        <v>0.27011205530314503</v>
      </c>
      <c r="S34" s="14">
        <v>30.597979144685119</v>
      </c>
      <c r="T34" s="14">
        <v>25.113544257186629</v>
      </c>
      <c r="U34" s="14">
        <v>85.249995172615314</v>
      </c>
      <c r="V34" s="18"/>
      <c r="W34" s="18"/>
      <c r="X34" s="18"/>
      <c r="Y34" s="18"/>
      <c r="Z34" s="18"/>
      <c r="AA34" s="14" t="str">
        <f>IF(AND(D34&lt;&gt;"EV",D34&lt;&gt;"Diesel"),"Invalid vehicle",IF(COUNTIFS(Routes[Corridor],E34,Routes[Direction],F34)=0,"Unknown route",IF(C34="","Missing date",IF(SUM(O34:U34)&lt;=0,"No distance","OK"))))</f>
        <v>OK</v>
      </c>
      <c r="AB34" s="17">
        <f t="shared" si="47"/>
        <v>46204</v>
      </c>
      <c r="AC34" s="14">
        <f>--(COUNTIFS($C$5:C34,C34,$D$5:D34,D34,$G$5:G34,G34,$F$5:F34,F34)=1)</f>
        <v>0</v>
      </c>
      <c r="AD34" s="14">
        <f t="shared" si="1"/>
        <v>0</v>
      </c>
      <c r="AE34" s="14">
        <f t="shared" si="2"/>
        <v>1</v>
      </c>
      <c r="AF34" s="14">
        <f t="shared" si="48"/>
        <v>0</v>
      </c>
      <c r="AG34" s="14">
        <f>SUMIFS(Routes[Net elevation (m)],Routes[Corridor],E34,Routes[Direction],F34)</f>
        <v>5</v>
      </c>
      <c r="AH34" s="14">
        <f t="shared" si="4"/>
        <v>14500</v>
      </c>
      <c r="AI34" s="14">
        <f t="shared" si="5"/>
        <v>0.25</v>
      </c>
      <c r="AJ34" s="14">
        <f t="shared" si="6"/>
        <v>8.1</v>
      </c>
      <c r="AK34" s="14">
        <f t="shared" si="49"/>
        <v>143.70301098845084</v>
      </c>
      <c r="AL34" s="14">
        <f t="shared" si="50"/>
        <v>4.0269294444444439</v>
      </c>
      <c r="AM34" s="14">
        <f t="shared" si="51"/>
        <v>4.0269294444444439</v>
      </c>
      <c r="AN34" s="14">
        <f t="shared" si="52"/>
        <v>0.69138888888888883</v>
      </c>
      <c r="AO34" s="14">
        <f t="shared" si="53"/>
        <v>3.3355405555555548</v>
      </c>
      <c r="AP34" s="14">
        <f t="shared" si="54"/>
        <v>42.341452090744312</v>
      </c>
      <c r="AQ34" s="14">
        <f t="shared" si="55"/>
        <v>10.024777310219815</v>
      </c>
      <c r="AR34" s="14">
        <f t="shared" si="56"/>
        <v>43.265013715972678</v>
      </c>
      <c r="AS34" s="14">
        <f t="shared" si="57"/>
        <v>43.113380699032838</v>
      </c>
      <c r="AT34" s="14">
        <f t="shared" si="58"/>
        <v>42.226508372711521</v>
      </c>
      <c r="AU34" s="14">
        <f t="shared" si="17"/>
        <v>46.908222831269065</v>
      </c>
      <c r="AV34" s="14">
        <f t="shared" si="18"/>
        <v>10.092419624805288</v>
      </c>
      <c r="AW34" s="14">
        <f t="shared" si="59"/>
        <v>30.810465110967655</v>
      </c>
      <c r="AX34" s="14">
        <f t="shared" si="20"/>
        <v>0.1975625</v>
      </c>
      <c r="AY34" s="14">
        <f t="shared" si="60"/>
        <v>46.908222831269065</v>
      </c>
      <c r="AZ34" s="14">
        <f t="shared" si="22"/>
        <v>0.1975625</v>
      </c>
      <c r="BA34" s="14">
        <f t="shared" si="23"/>
        <v>20.718045486162367</v>
      </c>
      <c r="BB34" s="14">
        <f t="shared" si="61"/>
        <v>77.916250442236731</v>
      </c>
      <c r="BC34" s="14">
        <f t="shared" si="25"/>
        <v>241.97593305042463</v>
      </c>
      <c r="BD34" s="14">
        <f t="shared" si="26"/>
        <v>77.193938571428561</v>
      </c>
      <c r="BE34" s="14">
        <f t="shared" si="27"/>
        <v>17.236709104938267</v>
      </c>
      <c r="BF34" s="14">
        <f t="shared" si="28"/>
        <v>0</v>
      </c>
      <c r="BG34" s="14">
        <f t="shared" si="62"/>
        <v>336.40658072679145</v>
      </c>
      <c r="BH34" s="14" t="str">
        <f t="shared" si="30"/>
        <v/>
      </c>
      <c r="BI34" s="14">
        <f t="shared" si="31"/>
        <v>1</v>
      </c>
      <c r="BJ34" s="14">
        <f t="shared" si="63"/>
        <v>336.40658072679145</v>
      </c>
      <c r="BK34" s="14">
        <f t="shared" si="33"/>
        <v>1211.0636906164493</v>
      </c>
      <c r="BL34" s="14">
        <f t="shared" si="34"/>
        <v>33.734364641126724</v>
      </c>
      <c r="BM34" s="14" t="str">
        <f t="shared" si="35"/>
        <v/>
      </c>
      <c r="BN34" s="14">
        <f t="shared" si="64"/>
        <v>2.340984913349017</v>
      </c>
      <c r="BO34" s="14">
        <f t="shared" si="65"/>
        <v>0.42717062989073185</v>
      </c>
      <c r="BP34" s="14">
        <f t="shared" si="66"/>
        <v>4.2598404480770196</v>
      </c>
      <c r="BQ34" s="22">
        <f t="shared" si="67"/>
        <v>0.23161333608249321</v>
      </c>
      <c r="BR34" s="14">
        <f t="shared" si="40"/>
        <v>3103.5615469836584</v>
      </c>
      <c r="BS34" s="14">
        <f t="shared" si="41"/>
        <v>90.408097238219625</v>
      </c>
      <c r="BT34" s="14">
        <f t="shared" si="68"/>
        <v>21.597053016746365</v>
      </c>
      <c r="BU34" s="14">
        <f t="shared" si="69"/>
        <v>0.62913154440087249</v>
      </c>
      <c r="BV34" s="22" t="str">
        <f t="shared" si="70"/>
        <v/>
      </c>
      <c r="BW34" s="14" t="e">
        <f t="shared" si="71"/>
        <v>#N/A</v>
      </c>
      <c r="BX34" s="14" t="e">
        <f t="shared" si="72"/>
        <v>#N/A</v>
      </c>
    </row>
    <row r="35" spans="1:76" x14ac:dyDescent="0.25">
      <c r="A35" s="12" t="s">
        <v>486</v>
      </c>
      <c r="B35" s="12" t="s">
        <v>153</v>
      </c>
      <c r="C35" s="15">
        <v>46219</v>
      </c>
      <c r="D35" s="12" t="s">
        <v>300</v>
      </c>
      <c r="E35" s="12" t="s">
        <v>29</v>
      </c>
      <c r="F35" s="12" t="s">
        <v>52</v>
      </c>
      <c r="G35" s="16">
        <v>0.59462962962962962</v>
      </c>
      <c r="H35" s="14">
        <v>0</v>
      </c>
      <c r="I35" s="14">
        <v>43.485533333333343</v>
      </c>
      <c r="J35" s="14">
        <v>9.5500000000000007</v>
      </c>
      <c r="K35" s="14">
        <v>6.7833333333333332</v>
      </c>
      <c r="L35" s="14">
        <v>55.4</v>
      </c>
      <c r="M35" s="14">
        <v>40.216666666666669</v>
      </c>
      <c r="N35" s="14">
        <v>120.6666666666667</v>
      </c>
      <c r="O35" s="14">
        <v>0</v>
      </c>
      <c r="P35" s="14">
        <v>1.349334550099321</v>
      </c>
      <c r="Q35" s="14">
        <v>0.85626343374075942</v>
      </c>
      <c r="R35" s="14">
        <v>0.6700482500107362</v>
      </c>
      <c r="S35" s="14">
        <v>44.025744768194123</v>
      </c>
      <c r="T35" s="14">
        <v>31.17572674470658</v>
      </c>
      <c r="U35" s="14">
        <v>74.16217403535677</v>
      </c>
      <c r="V35" s="18"/>
      <c r="W35" s="18"/>
      <c r="X35" s="18"/>
      <c r="Y35" s="18"/>
      <c r="Z35" s="18"/>
      <c r="AA35" s="14" t="str">
        <f>IF(AND(D35&lt;&gt;"EV",D35&lt;&gt;"Diesel"),"Invalid vehicle",IF(COUNTIFS(Routes[Corridor],E35,Routes[Direction],F35)=0,"Unknown route",IF(C35="","Missing date",IF(SUM(O35:U35)&lt;=0,"No distance","OK"))))</f>
        <v>OK</v>
      </c>
      <c r="AB35" s="17">
        <f t="shared" si="47"/>
        <v>46204</v>
      </c>
      <c r="AC35" s="14">
        <f>--(COUNTIFS($C$5:C35,C35,$D$5:D35,D35,$G$5:G35,G35,$F$5:F35,F35)=1)</f>
        <v>0</v>
      </c>
      <c r="AD35" s="14">
        <f t="shared" si="1"/>
        <v>0</v>
      </c>
      <c r="AE35" s="14">
        <f t="shared" si="2"/>
        <v>1</v>
      </c>
      <c r="AF35" s="14">
        <f t="shared" si="48"/>
        <v>0</v>
      </c>
      <c r="AG35" s="14">
        <f>SUMIFS(Routes[Net elevation (m)],Routes[Corridor],E35,Routes[Direction],F35)</f>
        <v>5</v>
      </c>
      <c r="AH35" s="14">
        <f t="shared" si="4"/>
        <v>16500</v>
      </c>
      <c r="AI35" s="14">
        <f t="shared" si="5"/>
        <v>0.25</v>
      </c>
      <c r="AJ35" s="14">
        <f t="shared" si="6"/>
        <v>8.1</v>
      </c>
      <c r="AK35" s="14">
        <f t="shared" si="49"/>
        <v>152.2392917821083</v>
      </c>
      <c r="AL35" s="14">
        <f t="shared" si="50"/>
        <v>4.6017033333333339</v>
      </c>
      <c r="AM35" s="14">
        <f t="shared" si="51"/>
        <v>4.6017033333333339</v>
      </c>
      <c r="AN35" s="14">
        <f t="shared" si="52"/>
        <v>0.88392555555555574</v>
      </c>
      <c r="AO35" s="14">
        <f t="shared" si="53"/>
        <v>3.7177777777777785</v>
      </c>
      <c r="AP35" s="14">
        <f t="shared" si="54"/>
        <v>40.355745492660304</v>
      </c>
      <c r="AQ35" s="14">
        <f t="shared" si="55"/>
        <v>5.9267167077116722</v>
      </c>
      <c r="AR35" s="14">
        <f t="shared" si="56"/>
        <v>47.681312023314938</v>
      </c>
      <c r="AS35" s="14">
        <f t="shared" si="57"/>
        <v>46.51165200204877</v>
      </c>
      <c r="AT35" s="14">
        <f t="shared" si="58"/>
        <v>36.87621913360281</v>
      </c>
      <c r="AU35" s="14">
        <f t="shared" si="17"/>
        <v>51.648737143087452</v>
      </c>
      <c r="AV35" s="14">
        <f t="shared" si="18"/>
        <v>14.357986105919483</v>
      </c>
      <c r="AW35" s="14">
        <f t="shared" si="59"/>
        <v>50.446165880222431</v>
      </c>
      <c r="AX35" s="14">
        <f t="shared" si="20"/>
        <v>0.2248125</v>
      </c>
      <c r="AY35" s="14">
        <f t="shared" si="60"/>
        <v>51.648737143087452</v>
      </c>
      <c r="AZ35" s="14">
        <f t="shared" si="22"/>
        <v>0.2248125</v>
      </c>
      <c r="BA35" s="14">
        <f t="shared" si="23"/>
        <v>36.088179774302944</v>
      </c>
      <c r="BB35" s="14">
        <f t="shared" si="61"/>
        <v>102.31971552330988</v>
      </c>
      <c r="BC35" s="14">
        <f t="shared" si="25"/>
        <v>123.37338340062686</v>
      </c>
      <c r="BD35" s="14">
        <f t="shared" si="26"/>
        <v>37.273797000000002</v>
      </c>
      <c r="BE35" s="14">
        <f t="shared" si="27"/>
        <v>0</v>
      </c>
      <c r="BF35" s="14">
        <f t="shared" si="28"/>
        <v>17.957839137490886</v>
      </c>
      <c r="BG35" s="14">
        <f t="shared" si="62"/>
        <v>142.68934126313599</v>
      </c>
      <c r="BH35" s="14" t="str">
        <f t="shared" si="30"/>
        <v/>
      </c>
      <c r="BI35" s="14">
        <f t="shared" si="31"/>
        <v>1</v>
      </c>
      <c r="BJ35" s="14">
        <f t="shared" si="63"/>
        <v>142.68934126313599</v>
      </c>
      <c r="BK35" s="14">
        <f t="shared" si="33"/>
        <v>513.68162854728962</v>
      </c>
      <c r="BL35" s="14" t="str">
        <f t="shared" si="34"/>
        <v/>
      </c>
      <c r="BM35" s="14">
        <f t="shared" si="35"/>
        <v>155.09711006862608</v>
      </c>
      <c r="BN35" s="14">
        <f t="shared" si="64"/>
        <v>0.93727013304396722</v>
      </c>
      <c r="BO35" s="14">
        <f t="shared" si="65"/>
        <v>1.0669282683235679</v>
      </c>
      <c r="BP35" s="14" t="str">
        <f t="shared" si="66"/>
        <v/>
      </c>
      <c r="BQ35" s="22">
        <f t="shared" si="67"/>
        <v>0.71708029918380689</v>
      </c>
      <c r="BR35" s="14">
        <f t="shared" si="40"/>
        <v>1473.4225456519478</v>
      </c>
      <c r="BS35" s="14">
        <f t="shared" si="41"/>
        <v>110.11894814872451</v>
      </c>
      <c r="BT35" s="14">
        <f t="shared" si="68"/>
        <v>9.6783328955627059</v>
      </c>
      <c r="BU35" s="14">
        <f t="shared" si="69"/>
        <v>0.72332803745784424</v>
      </c>
      <c r="BV35" s="22" t="str">
        <f t="shared" si="70"/>
        <v/>
      </c>
      <c r="BW35" s="14" t="e">
        <f t="shared" si="71"/>
        <v>#N/A</v>
      </c>
      <c r="BX35" s="14" t="e">
        <f t="shared" si="72"/>
        <v>#N/A</v>
      </c>
    </row>
    <row r="36" spans="1:76" x14ac:dyDescent="0.25">
      <c r="A36" s="12" t="s">
        <v>487</v>
      </c>
      <c r="B36" s="12" t="s">
        <v>153</v>
      </c>
      <c r="C36" s="15">
        <v>46291</v>
      </c>
      <c r="D36" s="12" t="s">
        <v>457</v>
      </c>
      <c r="E36" s="12" t="s">
        <v>29</v>
      </c>
      <c r="F36" s="12" t="s">
        <v>52</v>
      </c>
      <c r="G36" s="16">
        <v>0.67787037037037035</v>
      </c>
      <c r="H36" s="14">
        <v>0</v>
      </c>
      <c r="I36" s="14">
        <v>26.333333333333329</v>
      </c>
      <c r="J36" s="14">
        <v>10.016666666666669</v>
      </c>
      <c r="K36" s="14">
        <v>14.483333333333331</v>
      </c>
      <c r="L36" s="14">
        <v>52.6</v>
      </c>
      <c r="M36" s="14">
        <v>41.9</v>
      </c>
      <c r="N36" s="14">
        <v>146.02638333333331</v>
      </c>
      <c r="O36" s="14">
        <v>0</v>
      </c>
      <c r="P36" s="14">
        <v>0.32294108699012902</v>
      </c>
      <c r="Q36" s="14">
        <v>0.5256426997626461</v>
      </c>
      <c r="R36" s="14">
        <v>1.2222826160609359</v>
      </c>
      <c r="S36" s="14">
        <v>30.18268163700424</v>
      </c>
      <c r="T36" s="14">
        <v>24.79776882222491</v>
      </c>
      <c r="U36" s="14">
        <v>96.896273385660237</v>
      </c>
      <c r="V36" s="18"/>
      <c r="W36" s="18"/>
      <c r="X36" s="18"/>
      <c r="Y36" s="18"/>
      <c r="Z36" s="18"/>
      <c r="AA36" s="14" t="str">
        <f>IF(AND(D36&lt;&gt;"EV",D36&lt;&gt;"Diesel"),"Invalid vehicle",IF(COUNTIFS(Routes[Corridor],E36,Routes[Direction],F36)=0,"Unknown route",IF(C36="","Missing date",IF(SUM(O36:U36)&lt;=0,"No distance","OK"))))</f>
        <v>OK</v>
      </c>
      <c r="AB36" s="17">
        <f t="shared" si="47"/>
        <v>46266</v>
      </c>
      <c r="AC36" s="14">
        <f>--(COUNTIFS($C$5:C36,C36,$D$5:D36,D36,$G$5:G36,G36,$F$5:F36,F36)=1)</f>
        <v>1</v>
      </c>
      <c r="AD36" s="14">
        <f t="shared" si="1"/>
        <v>0</v>
      </c>
      <c r="AE36" s="14">
        <f t="shared" si="2"/>
        <v>1</v>
      </c>
      <c r="AF36" s="14">
        <f t="shared" si="48"/>
        <v>0</v>
      </c>
      <c r="AG36" s="14">
        <f>SUMIFS(Routes[Net elevation (m)],Routes[Corridor],E36,Routes[Direction],F36)</f>
        <v>5</v>
      </c>
      <c r="AH36" s="14">
        <f t="shared" si="4"/>
        <v>14500</v>
      </c>
      <c r="AI36" s="14">
        <f t="shared" si="5"/>
        <v>0.25</v>
      </c>
      <c r="AJ36" s="14">
        <f t="shared" si="6"/>
        <v>8.1</v>
      </c>
      <c r="AK36" s="14">
        <f t="shared" si="49"/>
        <v>153.94759024770309</v>
      </c>
      <c r="AL36" s="14">
        <f t="shared" si="50"/>
        <v>4.8559952777777777</v>
      </c>
      <c r="AM36" s="14">
        <f t="shared" si="51"/>
        <v>4.8559952777777777</v>
      </c>
      <c r="AN36" s="14">
        <f t="shared" si="52"/>
        <v>0.60583333333333322</v>
      </c>
      <c r="AO36" s="14">
        <f t="shared" si="53"/>
        <v>4.2501619444444438</v>
      </c>
      <c r="AP36" s="14">
        <f t="shared" si="54"/>
        <v>36.021923037796739</v>
      </c>
      <c r="AQ36" s="14">
        <f t="shared" si="55"/>
        <v>5.0635413323583087</v>
      </c>
      <c r="AR36" s="14">
        <f t="shared" si="56"/>
        <v>34.428914414833734</v>
      </c>
      <c r="AS36" s="14">
        <f t="shared" si="57"/>
        <v>35.509931487672901</v>
      </c>
      <c r="AT36" s="14">
        <f t="shared" si="58"/>
        <v>39.813191770069054</v>
      </c>
      <c r="AU36" s="14">
        <f t="shared" si="17"/>
        <v>48.486980180248331</v>
      </c>
      <c r="AV36" s="14">
        <f t="shared" si="18"/>
        <v>8.9663325222615136</v>
      </c>
      <c r="AW36" s="14">
        <f t="shared" si="59"/>
        <v>30.392283592816767</v>
      </c>
      <c r="AX36" s="14">
        <f t="shared" si="20"/>
        <v>0.1975625</v>
      </c>
      <c r="AY36" s="14">
        <f t="shared" si="60"/>
        <v>48.486980180248331</v>
      </c>
      <c r="AZ36" s="14">
        <f t="shared" si="22"/>
        <v>0.1975625</v>
      </c>
      <c r="BA36" s="14">
        <f t="shared" si="23"/>
        <v>21.425951070555254</v>
      </c>
      <c r="BB36" s="14">
        <f t="shared" si="61"/>
        <v>79.076826273065109</v>
      </c>
      <c r="BC36" s="14">
        <f t="shared" si="25"/>
        <v>245.58020581697238</v>
      </c>
      <c r="BD36" s="14">
        <f t="shared" si="26"/>
        <v>98.360890714285716</v>
      </c>
      <c r="BE36" s="14">
        <f t="shared" si="27"/>
        <v>15.103761574074069</v>
      </c>
      <c r="BF36" s="14">
        <f t="shared" si="28"/>
        <v>0</v>
      </c>
      <c r="BG36" s="14">
        <f t="shared" si="62"/>
        <v>359.04485810533214</v>
      </c>
      <c r="BH36" s="14" t="str">
        <f t="shared" si="30"/>
        <v/>
      </c>
      <c r="BI36" s="14">
        <f t="shared" si="31"/>
        <v>1</v>
      </c>
      <c r="BJ36" s="14">
        <f t="shared" si="63"/>
        <v>359.04485810533214</v>
      </c>
      <c r="BK36" s="14">
        <f t="shared" si="33"/>
        <v>1292.5614891791956</v>
      </c>
      <c r="BL36" s="14">
        <f t="shared" si="34"/>
        <v>36.004498305827184</v>
      </c>
      <c r="BM36" s="14" t="str">
        <f t="shared" si="35"/>
        <v/>
      </c>
      <c r="BN36" s="14">
        <f t="shared" si="64"/>
        <v>2.3322538373457204</v>
      </c>
      <c r="BO36" s="14">
        <f t="shared" si="65"/>
        <v>0.42876979511718799</v>
      </c>
      <c r="BP36" s="14">
        <f t="shared" si="66"/>
        <v>4.2757876790852904</v>
      </c>
      <c r="BQ36" s="22">
        <f t="shared" si="67"/>
        <v>0.22024219115781496</v>
      </c>
      <c r="BR36" s="14">
        <f t="shared" si="40"/>
        <v>3312.413844136101</v>
      </c>
      <c r="BS36" s="14">
        <f t="shared" si="41"/>
        <v>96.492055459616864</v>
      </c>
      <c r="BT36" s="14">
        <f t="shared" si="68"/>
        <v>21.516503368493112</v>
      </c>
      <c r="BU36" s="14">
        <f t="shared" si="69"/>
        <v>0.62678509812566896</v>
      </c>
      <c r="BV36" s="22" t="str">
        <f t="shared" si="70"/>
        <v/>
      </c>
      <c r="BW36" s="14" t="e">
        <f t="shared" si="71"/>
        <v>#N/A</v>
      </c>
      <c r="BX36" s="14" t="e">
        <f t="shared" si="72"/>
        <v>#N/A</v>
      </c>
    </row>
    <row r="37" spans="1:76" x14ac:dyDescent="0.25">
      <c r="A37" s="12" t="s">
        <v>488</v>
      </c>
      <c r="B37" s="12" t="s">
        <v>158</v>
      </c>
      <c r="C37" s="15">
        <v>46291</v>
      </c>
      <c r="D37" s="12" t="s">
        <v>300</v>
      </c>
      <c r="E37" s="12" t="s">
        <v>29</v>
      </c>
      <c r="F37" s="12" t="s">
        <v>52</v>
      </c>
      <c r="G37" s="16">
        <v>0.60513888888888889</v>
      </c>
      <c r="H37" s="14">
        <v>0</v>
      </c>
      <c r="I37" s="14">
        <v>35.1</v>
      </c>
      <c r="J37" s="14">
        <v>12.7</v>
      </c>
      <c r="K37" s="14">
        <v>3.9333333333333331</v>
      </c>
      <c r="L37" s="14">
        <v>68.016666666666666</v>
      </c>
      <c r="M37" s="14">
        <v>51.253116666666664</v>
      </c>
      <c r="N37" s="14">
        <v>71.584483333333338</v>
      </c>
      <c r="O37" s="14">
        <v>0</v>
      </c>
      <c r="P37" s="14">
        <v>0.1862366457606098</v>
      </c>
      <c r="Q37" s="14">
        <v>0.28644165794522208</v>
      </c>
      <c r="R37" s="14">
        <v>0.30638082516478932</v>
      </c>
      <c r="S37" s="14">
        <v>51.040210715733267</v>
      </c>
      <c r="T37" s="14">
        <v>36.752369717980088</v>
      </c>
      <c r="U37" s="14">
        <v>57.027122505769483</v>
      </c>
      <c r="V37" s="18"/>
      <c r="W37" s="18"/>
      <c r="X37" s="18"/>
      <c r="Y37" s="18"/>
      <c r="Z37" s="18"/>
      <c r="AA37" s="14" t="str">
        <f>IF(AND(D37&lt;&gt;"EV",D37&lt;&gt;"Diesel"),"Invalid vehicle",IF(COUNTIFS(Routes[Corridor],E37,Routes[Direction],F37)=0,"Unknown route",IF(C37="","Missing date",IF(SUM(O37:U37)&lt;=0,"No distance","OK"))))</f>
        <v>OK</v>
      </c>
      <c r="AB37" s="17">
        <f t="shared" si="47"/>
        <v>46266</v>
      </c>
      <c r="AC37" s="14">
        <f>--(COUNTIFS($C$5:C37,C37,$D$5:D37,D37,$G$5:G37,G37,$F$5:F37,F37)=1)</f>
        <v>1</v>
      </c>
      <c r="AD37" s="14">
        <f t="shared" ref="AD37:AD68" si="73">--AND(AA37="OK",OR(TAT_Sel_Basis="All pair instances",AC37=1),OR(TAT_Sel_Corridor="All",E37=TAT_Sel_Corridor),OR(TAT_Sel_DirEff="All",F37=TAT_Sel_DirEff))</f>
        <v>0</v>
      </c>
      <c r="AE37" s="14">
        <f t="shared" ref="AE37:AE68" si="74">--AND(AA37="OK",OR(TAT_Sel_Basis="All pair instances",AC37=1),OR(TAT_Sel_Month="All",TEXT(AB37,"mmm yyyy")=TAT_Sel_Month))</f>
        <v>1</v>
      </c>
      <c r="AF37" s="14">
        <f t="shared" si="48"/>
        <v>0</v>
      </c>
      <c r="AG37" s="14">
        <f>SUMIFS(Routes[Net elevation (m)],Routes[Corridor],E37,Routes[Direction],F37)</f>
        <v>5</v>
      </c>
      <c r="AH37" s="14">
        <f t="shared" ref="AH37:AH68" si="75">IF(D37="EV",TAT_Kerb_EV,TAT_Kerb_D)+IF(V37="",TAT_Pax_Default,V37)*TAT_Pax_Mass</f>
        <v>16500</v>
      </c>
      <c r="AI37" s="14">
        <f t="shared" ref="AI37:AI68" si="76">IF(X37="",IF(D37="EV",TAT_Acc_EV,TAT_Acc_D),X37)</f>
        <v>0.25</v>
      </c>
      <c r="AJ37" s="14">
        <f t="shared" ref="AJ37:AJ68" si="77">IF(D37="EV",TAT_AuxBase_EV,TAT_AuxBase_D)+TAT_HVAC_k*MAX(0,IF(W37="",TAT_Temp_Default,W37)-TAT_HVAC_Tset)</f>
        <v>8.1</v>
      </c>
      <c r="AK37" s="14">
        <f t="shared" si="49"/>
        <v>145.59876206835347</v>
      </c>
      <c r="AL37" s="14">
        <f t="shared" si="50"/>
        <v>4.0431266666666668</v>
      </c>
      <c r="AM37" s="14">
        <f t="shared" si="51"/>
        <v>4.0431266666666668</v>
      </c>
      <c r="AN37" s="14">
        <f t="shared" si="52"/>
        <v>0.79666666666666663</v>
      </c>
      <c r="AO37" s="14">
        <f t="shared" si="53"/>
        <v>3.2464599999999999</v>
      </c>
      <c r="AP37" s="14">
        <f t="shared" si="54"/>
        <v>44.702871362852967</v>
      </c>
      <c r="AQ37" s="14">
        <f t="shared" si="55"/>
        <v>4.6736058075984817</v>
      </c>
      <c r="AR37" s="14">
        <f t="shared" si="56"/>
        <v>45.024444640195973</v>
      </c>
      <c r="AS37" s="14">
        <f t="shared" si="57"/>
        <v>43.024548095685994</v>
      </c>
      <c r="AT37" s="14">
        <f t="shared" si="58"/>
        <v>47.798450041377713</v>
      </c>
      <c r="AU37" s="14">
        <f t="shared" ref="AU37:AU68" si="78">(IF(D37="EV",TAT_Crr_EV,TAT_Crr_D)*AH37*TAT_G_acc*(AK37-T37)+IF(D37="EV",TAT_Kaero_EV,TAT_Kaero_D)*((AQ37/3.6)^2*R37+(AR37/3.6)^2*S37+(AT37/3.6)^2*U37))/3600</f>
        <v>50.014220476226953</v>
      </c>
      <c r="AV37" s="14">
        <f t="shared" ref="AV37:AV68" si="79">(IF(D37="EV",TAT_Crr_EV,TAT_Crr_D)*AH37*TAT_G_acc+IF(D37="EV",TAT_Kaero_EV,TAT_Kaero_D)*(AS37/3.6)^2)*T37/3600</f>
        <v>16.152880663347183</v>
      </c>
      <c r="AW37" s="14">
        <f t="shared" si="59"/>
        <v>58.483574778444364</v>
      </c>
      <c r="AX37" s="14">
        <f t="shared" ref="AX37:AX68" si="80">AH37*TAT_G_acc*AG37/3600000</f>
        <v>0.2248125</v>
      </c>
      <c r="AY37" s="14">
        <f t="shared" si="60"/>
        <v>50.014220476226953</v>
      </c>
      <c r="AZ37" s="14">
        <f t="shared" ref="AZ37:AZ68" si="81">MAX(0,AX37)-TAT_Descent_Share*MAX(0,-AX37)</f>
        <v>0.2248125</v>
      </c>
      <c r="BA37" s="14">
        <f t="shared" ref="BA37:BA68" si="82">MAX(0,AW37-AV37)+(1-TAT_Descent_Share)*MAX(0,-AX37)</f>
        <v>42.330694115097181</v>
      </c>
      <c r="BB37" s="14">
        <f t="shared" si="61"/>
        <v>108.72260775467132</v>
      </c>
      <c r="BC37" s="14">
        <f t="shared" ref="BC37:BC68" si="83">BB37/IF(D37="EV",TAT_EtaPT_EV,TAT_EtaPT_D)</f>
        <v>131.09375746629448</v>
      </c>
      <c r="BD37" s="14">
        <f t="shared" ref="BD37:BD68" si="84">IF(D37="EV",AJ37*AM37,AJ37*AO37/TAT_EtaEng_D)</f>
        <v>32.749325999999996</v>
      </c>
      <c r="BE37" s="14">
        <f t="shared" ref="BE37:BE68" si="85">IF(D37="EV",0,TAT_IdleFuel_D*AN37*TAT_LHV_kWhL)</f>
        <v>0</v>
      </c>
      <c r="BF37" s="14">
        <f t="shared" ref="BF37:BF68" si="86">IF(D37="EV",TAT_Regen_EV*TAT_EtaPT_EV*BA37,0)</f>
        <v>21.064176698613505</v>
      </c>
      <c r="BG37" s="14">
        <f t="shared" si="62"/>
        <v>142.77890676768098</v>
      </c>
      <c r="BH37" s="14" t="str">
        <f t="shared" ref="BH37:BH68" si="87">IF(D37="EV",IF(Y37="","",Y37),IF(Z37="","",Z37*TAT_LHV_kWhL))</f>
        <v/>
      </c>
      <c r="BI37" s="14">
        <f t="shared" ref="BI37:BI68" si="88">IF(TAT_Cal_Apply="Yes",IF(D37="EV",TAT_CF_EV,TAT_CF_D),1)</f>
        <v>1</v>
      </c>
      <c r="BJ37" s="14">
        <f t="shared" si="63"/>
        <v>142.77890676768098</v>
      </c>
      <c r="BK37" s="14">
        <f t="shared" si="33"/>
        <v>514.00406436365154</v>
      </c>
      <c r="BL37" s="14" t="str">
        <f t="shared" ref="BL37:BL68" si="89">IF(D37="EV","",BJ37/TAT_LHV_kWhL)</f>
        <v/>
      </c>
      <c r="BM37" s="14">
        <f t="shared" ref="BM37:BM68" si="90">IF(D37="EV",BJ37/TAT_EtaCharger,"")</f>
        <v>155.1944638779141</v>
      </c>
      <c r="BN37" s="14">
        <f t="shared" si="64"/>
        <v>0.98063269727974289</v>
      </c>
      <c r="BO37" s="14">
        <f t="shared" si="65"/>
        <v>1.0197498031362626</v>
      </c>
      <c r="BP37" s="14" t="str">
        <f t="shared" si="66"/>
        <v/>
      </c>
      <c r="BQ37" s="22">
        <f t="shared" si="67"/>
        <v>0.76147527821862726</v>
      </c>
      <c r="BR37" s="14">
        <f t="shared" ref="BR37:BR68" si="91">IF(D37="EV",BM37*TAT_Tariff_EV,BL37*TAT_Price_Diesel)</f>
        <v>1474.347406840184</v>
      </c>
      <c r="BS37" s="14">
        <f t="shared" ref="BS37:BS68" si="92">IF(D37="EV",BM37*TAT_EF_Grid,BL37*TAT_EF_Diesel)</f>
        <v>110.18806935331901</v>
      </c>
      <c r="BT37" s="14">
        <f t="shared" si="68"/>
        <v>10.126098504519085</v>
      </c>
      <c r="BU37" s="14">
        <f t="shared" si="69"/>
        <v>0.75679262507458411</v>
      </c>
      <c r="BV37" s="22" t="str">
        <f t="shared" si="70"/>
        <v/>
      </c>
      <c r="BW37" s="14" t="e">
        <f t="shared" si="71"/>
        <v>#N/A</v>
      </c>
      <c r="BX37" s="14" t="e">
        <f t="shared" si="72"/>
        <v>#N/A</v>
      </c>
    </row>
    <row r="38" spans="1:76" x14ac:dyDescent="0.25">
      <c r="A38" s="12" t="s">
        <v>489</v>
      </c>
      <c r="B38" s="12" t="s">
        <v>158</v>
      </c>
      <c r="C38" s="15">
        <v>46219</v>
      </c>
      <c r="D38" s="12" t="s">
        <v>457</v>
      </c>
      <c r="E38" s="12" t="s">
        <v>29</v>
      </c>
      <c r="F38" s="12" t="s">
        <v>52</v>
      </c>
      <c r="G38" s="16">
        <v>0.69298611111111108</v>
      </c>
      <c r="H38" s="14">
        <v>0</v>
      </c>
      <c r="I38" s="14">
        <v>36.983333333333327</v>
      </c>
      <c r="J38" s="14">
        <v>4.5</v>
      </c>
      <c r="K38" s="14">
        <v>1.6166666666666669</v>
      </c>
      <c r="L38" s="14">
        <v>42.43333333333333</v>
      </c>
      <c r="M38" s="14">
        <v>34.950000000000003</v>
      </c>
      <c r="N38" s="14">
        <v>122.04485</v>
      </c>
      <c r="O38" s="14">
        <v>0</v>
      </c>
      <c r="P38" s="14">
        <v>0.43407803900839542</v>
      </c>
      <c r="Q38" s="14">
        <v>2.031482381418694</v>
      </c>
      <c r="R38" s="14">
        <v>0.27011205530314503</v>
      </c>
      <c r="S38" s="14">
        <v>30.597979144685119</v>
      </c>
      <c r="T38" s="14">
        <v>25.113544257186629</v>
      </c>
      <c r="U38" s="14">
        <v>85.372241243471635</v>
      </c>
      <c r="V38" s="18"/>
      <c r="W38" s="18"/>
      <c r="X38" s="18"/>
      <c r="Y38" s="18"/>
      <c r="Z38" s="18"/>
      <c r="AA38" s="14" t="str">
        <f>IF(AND(D38&lt;&gt;"EV",D38&lt;&gt;"Diesel"),"Invalid vehicle",IF(COUNTIFS(Routes[Corridor],E38,Routes[Direction],F38)=0,"Unknown route",IF(C38="","Missing date",IF(SUM(O38:U38)&lt;=0,"No distance","OK"))))</f>
        <v>OK</v>
      </c>
      <c r="AB38" s="17">
        <f t="shared" si="47"/>
        <v>46204</v>
      </c>
      <c r="AC38" s="14">
        <f>--(COUNTIFS($C$5:C38,C38,$D$5:D38,D38,$G$5:G38,G38,$F$5:F38,F38)=1)</f>
        <v>0</v>
      </c>
      <c r="AD38" s="14">
        <f t="shared" si="73"/>
        <v>0</v>
      </c>
      <c r="AE38" s="14">
        <f t="shared" si="74"/>
        <v>1</v>
      </c>
      <c r="AF38" s="14">
        <f t="shared" si="48"/>
        <v>0</v>
      </c>
      <c r="AG38" s="14">
        <f>SUMIFS(Routes[Net elevation (m)],Routes[Corridor],E38,Routes[Direction],F38)</f>
        <v>5</v>
      </c>
      <c r="AH38" s="14">
        <f t="shared" si="75"/>
        <v>14500</v>
      </c>
      <c r="AI38" s="14">
        <f t="shared" si="76"/>
        <v>0.25</v>
      </c>
      <c r="AJ38" s="14">
        <f t="shared" si="77"/>
        <v>8.1</v>
      </c>
      <c r="AK38" s="14">
        <f t="shared" si="49"/>
        <v>143.81943712107363</v>
      </c>
      <c r="AL38" s="14">
        <f t="shared" si="50"/>
        <v>4.0421363888888893</v>
      </c>
      <c r="AM38" s="14">
        <f t="shared" si="51"/>
        <v>4.0421363888888893</v>
      </c>
      <c r="AN38" s="14">
        <f t="shared" si="52"/>
        <v>0.69138888888888883</v>
      </c>
      <c r="AO38" s="14">
        <f t="shared" si="53"/>
        <v>3.3507474999999998</v>
      </c>
      <c r="AP38" s="14">
        <f t="shared" si="54"/>
        <v>42.185773980476462</v>
      </c>
      <c r="AQ38" s="14">
        <f t="shared" si="55"/>
        <v>10.024777310219815</v>
      </c>
      <c r="AR38" s="14">
        <f t="shared" si="56"/>
        <v>43.265013715972678</v>
      </c>
      <c r="AS38" s="14">
        <f t="shared" si="57"/>
        <v>43.113380699032838</v>
      </c>
      <c r="AT38" s="14">
        <f t="shared" si="58"/>
        <v>41.970918679553442</v>
      </c>
      <c r="AU38" s="14">
        <f t="shared" si="78"/>
        <v>46.831285374744475</v>
      </c>
      <c r="AV38" s="14">
        <f t="shared" si="79"/>
        <v>10.092419624805288</v>
      </c>
      <c r="AW38" s="14">
        <f t="shared" si="59"/>
        <v>30.810465110967655</v>
      </c>
      <c r="AX38" s="14">
        <f t="shared" si="80"/>
        <v>0.1975625</v>
      </c>
      <c r="AY38" s="14">
        <f t="shared" si="60"/>
        <v>46.831285374744475</v>
      </c>
      <c r="AZ38" s="14">
        <f t="shared" si="81"/>
        <v>0.1975625</v>
      </c>
      <c r="BA38" s="14">
        <f t="shared" si="82"/>
        <v>20.718045486162367</v>
      </c>
      <c r="BB38" s="14">
        <f t="shared" si="61"/>
        <v>77.839312985712127</v>
      </c>
      <c r="BC38" s="14">
        <f t="shared" si="83"/>
        <v>241.73699685003766</v>
      </c>
      <c r="BD38" s="14">
        <f t="shared" si="84"/>
        <v>77.545870714285712</v>
      </c>
      <c r="BE38" s="14">
        <f t="shared" si="85"/>
        <v>17.236709104938267</v>
      </c>
      <c r="BF38" s="14">
        <f t="shared" si="86"/>
        <v>0</v>
      </c>
      <c r="BG38" s="14">
        <f t="shared" si="62"/>
        <v>336.51957666926165</v>
      </c>
      <c r="BH38" s="14" t="str">
        <f t="shared" si="87"/>
        <v/>
      </c>
      <c r="BI38" s="14">
        <f t="shared" si="88"/>
        <v>1</v>
      </c>
      <c r="BJ38" s="14">
        <f t="shared" si="63"/>
        <v>336.51957666926165</v>
      </c>
      <c r="BK38" s="14">
        <f t="shared" si="33"/>
        <v>1211.4704760093421</v>
      </c>
      <c r="BL38" s="14">
        <f t="shared" si="89"/>
        <v>33.745695710566629</v>
      </c>
      <c r="BM38" s="14" t="str">
        <f t="shared" si="90"/>
        <v/>
      </c>
      <c r="BN38" s="14">
        <f t="shared" si="64"/>
        <v>2.3398754953126706</v>
      </c>
      <c r="BO38" s="14">
        <f t="shared" si="65"/>
        <v>0.42737316665063541</v>
      </c>
      <c r="BP38" s="14">
        <f t="shared" si="66"/>
        <v>4.2618601896549473</v>
      </c>
      <c r="BQ38" s="22">
        <f t="shared" si="67"/>
        <v>0.23130693838419453</v>
      </c>
      <c r="BR38" s="14">
        <f t="shared" si="91"/>
        <v>3104.6040053721299</v>
      </c>
      <c r="BS38" s="14">
        <f t="shared" si="92"/>
        <v>90.438464504318574</v>
      </c>
      <c r="BT38" s="14">
        <f t="shared" si="68"/>
        <v>21.586817940043357</v>
      </c>
      <c r="BU38" s="14">
        <f t="shared" si="69"/>
        <v>0.62883339216648049</v>
      </c>
      <c r="BV38" s="22" t="str">
        <f t="shared" si="70"/>
        <v/>
      </c>
      <c r="BW38" s="14" t="e">
        <f t="shared" si="71"/>
        <v>#N/A</v>
      </c>
      <c r="BX38" s="14" t="e">
        <f t="shared" si="72"/>
        <v>#N/A</v>
      </c>
    </row>
    <row r="39" spans="1:76" x14ac:dyDescent="0.25">
      <c r="A39" s="12" t="s">
        <v>490</v>
      </c>
      <c r="B39" s="12" t="s">
        <v>162</v>
      </c>
      <c r="C39" s="15">
        <v>46220</v>
      </c>
      <c r="D39" s="12" t="s">
        <v>300</v>
      </c>
      <c r="E39" s="12" t="s">
        <v>29</v>
      </c>
      <c r="F39" s="12" t="s">
        <v>41</v>
      </c>
      <c r="G39" s="16">
        <v>0.33966435185185184</v>
      </c>
      <c r="H39" s="14">
        <v>0</v>
      </c>
      <c r="I39" s="14">
        <v>30.18333333333333</v>
      </c>
      <c r="J39" s="14">
        <v>12.0548</v>
      </c>
      <c r="K39" s="14">
        <v>2.1</v>
      </c>
      <c r="L39" s="14">
        <v>43.833333333333343</v>
      </c>
      <c r="M39" s="14">
        <v>30.25</v>
      </c>
      <c r="N39" s="14">
        <v>87.221950000000007</v>
      </c>
      <c r="O39" s="14">
        <v>0</v>
      </c>
      <c r="P39" s="14">
        <v>0.38306581509713777</v>
      </c>
      <c r="Q39" s="14">
        <v>2.078327234216284</v>
      </c>
      <c r="R39" s="14">
        <v>0.20461421027387261</v>
      </c>
      <c r="S39" s="14">
        <v>36.808470594235978</v>
      </c>
      <c r="T39" s="14">
        <v>24.895439135578741</v>
      </c>
      <c r="U39" s="14">
        <v>77.229137978621239</v>
      </c>
      <c r="V39" s="18"/>
      <c r="W39" s="18"/>
      <c r="X39" s="18"/>
      <c r="Y39" s="18"/>
      <c r="Z39" s="18"/>
      <c r="AA39" s="14" t="str">
        <f>IF(AND(D39&lt;&gt;"EV",D39&lt;&gt;"Diesel"),"Invalid vehicle",IF(COUNTIFS(Routes[Corridor],E39,Routes[Direction],F39)=0,"Unknown route",IF(C39="","Missing date",IF(SUM(O39:U39)&lt;=0,"No distance","OK"))))</f>
        <v>OK</v>
      </c>
      <c r="AB39" s="17">
        <f t="shared" si="47"/>
        <v>46204</v>
      </c>
      <c r="AC39" s="14">
        <f>--(COUNTIFS($C$5:C39,C39,$D$5:D39,D39,$G$5:G39,G39,$F$5:F39,F39)=1)</f>
        <v>1</v>
      </c>
      <c r="AD39" s="14">
        <f t="shared" si="73"/>
        <v>0</v>
      </c>
      <c r="AE39" s="14">
        <f t="shared" si="74"/>
        <v>1</v>
      </c>
      <c r="AF39" s="14">
        <f t="shared" si="48"/>
        <v>0</v>
      </c>
      <c r="AG39" s="14">
        <f>SUMIFS(Routes[Net elevation (m)],Routes[Corridor],E39,Routes[Direction],F39)</f>
        <v>-5</v>
      </c>
      <c r="AH39" s="14">
        <f t="shared" si="75"/>
        <v>16500</v>
      </c>
      <c r="AI39" s="14">
        <f t="shared" si="76"/>
        <v>0.25</v>
      </c>
      <c r="AJ39" s="14">
        <f t="shared" si="77"/>
        <v>8.1</v>
      </c>
      <c r="AK39" s="14">
        <f t="shared" si="49"/>
        <v>141.59905496802327</v>
      </c>
      <c r="AL39" s="14">
        <f t="shared" si="50"/>
        <v>3.4273902777777776</v>
      </c>
      <c r="AM39" s="14">
        <f t="shared" si="51"/>
        <v>3.4273902777777776</v>
      </c>
      <c r="AN39" s="14">
        <f t="shared" si="52"/>
        <v>0.70396888888888887</v>
      </c>
      <c r="AO39" s="14">
        <f t="shared" si="53"/>
        <v>2.7234213888888887</v>
      </c>
      <c r="AP39" s="14">
        <f t="shared" si="54"/>
        <v>51.089288821174939</v>
      </c>
      <c r="AQ39" s="14">
        <f t="shared" si="55"/>
        <v>5.8461202935392169</v>
      </c>
      <c r="AR39" s="14">
        <f t="shared" si="56"/>
        <v>50.384218303897143</v>
      </c>
      <c r="AS39" s="14">
        <f t="shared" si="57"/>
        <v>49.379383409412377</v>
      </c>
      <c r="AT39" s="14">
        <f t="shared" si="58"/>
        <v>53.125942250973225</v>
      </c>
      <c r="AU39" s="14">
        <f t="shared" si="78"/>
        <v>57.721062937341145</v>
      </c>
      <c r="AV39" s="14">
        <f t="shared" si="79"/>
        <v>11.927030908123118</v>
      </c>
      <c r="AW39" s="14">
        <f t="shared" si="59"/>
        <v>42.176372555895391</v>
      </c>
      <c r="AX39" s="14">
        <f t="shared" si="80"/>
        <v>-0.2248125</v>
      </c>
      <c r="AY39" s="14">
        <f t="shared" si="60"/>
        <v>57.721062937341145</v>
      </c>
      <c r="AZ39" s="14">
        <f t="shared" si="81"/>
        <v>-0.11240625</v>
      </c>
      <c r="BA39" s="14">
        <f t="shared" si="82"/>
        <v>30.361747897772272</v>
      </c>
      <c r="BB39" s="14">
        <f t="shared" si="61"/>
        <v>99.785029243236536</v>
      </c>
      <c r="BC39" s="14">
        <f t="shared" si="83"/>
        <v>120.31715107401766</v>
      </c>
      <c r="BD39" s="14">
        <f t="shared" si="84"/>
        <v>27.761861249999999</v>
      </c>
      <c r="BE39" s="14">
        <f t="shared" si="85"/>
        <v>0</v>
      </c>
      <c r="BF39" s="14">
        <f t="shared" si="86"/>
        <v>15.108309371410458</v>
      </c>
      <c r="BG39" s="14">
        <f t="shared" si="62"/>
        <v>132.97070295260721</v>
      </c>
      <c r="BH39" s="14" t="str">
        <f t="shared" si="87"/>
        <v/>
      </c>
      <c r="BI39" s="14">
        <f t="shared" si="88"/>
        <v>1</v>
      </c>
      <c r="BJ39" s="14">
        <f t="shared" si="63"/>
        <v>132.97070295260721</v>
      </c>
      <c r="BK39" s="14">
        <f t="shared" si="33"/>
        <v>478.69453062938595</v>
      </c>
      <c r="BL39" s="14" t="str">
        <f t="shared" si="89"/>
        <v/>
      </c>
      <c r="BM39" s="14">
        <f t="shared" si="90"/>
        <v>144.53337277457305</v>
      </c>
      <c r="BN39" s="14">
        <f t="shared" si="64"/>
        <v>0.93906490394752595</v>
      </c>
      <c r="BO39" s="14">
        <f t="shared" si="65"/>
        <v>1.0648891208651527</v>
      </c>
      <c r="BP39" s="14" t="str">
        <f t="shared" si="66"/>
        <v/>
      </c>
      <c r="BQ39" s="22">
        <f t="shared" si="67"/>
        <v>0.75042868111181937</v>
      </c>
      <c r="BR39" s="14">
        <f t="shared" si="91"/>
        <v>1373.0670413584439</v>
      </c>
      <c r="BS39" s="14">
        <f t="shared" si="92"/>
        <v>102.61869466994686</v>
      </c>
      <c r="BT39" s="14">
        <f t="shared" si="68"/>
        <v>9.6968658559798868</v>
      </c>
      <c r="BU39" s="14">
        <f t="shared" si="69"/>
        <v>0.72471313239428625</v>
      </c>
      <c r="BV39" s="22" t="str">
        <f t="shared" si="70"/>
        <v/>
      </c>
      <c r="BW39" s="14" t="e">
        <f t="shared" si="71"/>
        <v>#N/A</v>
      </c>
      <c r="BX39" s="14" t="e">
        <f t="shared" si="72"/>
        <v>#N/A</v>
      </c>
    </row>
    <row r="40" spans="1:76" x14ac:dyDescent="0.25">
      <c r="A40" s="12" t="s">
        <v>491</v>
      </c>
      <c r="B40" s="12" t="s">
        <v>162</v>
      </c>
      <c r="C40" s="15">
        <v>46220</v>
      </c>
      <c r="D40" s="12" t="s">
        <v>457</v>
      </c>
      <c r="E40" s="12" t="s">
        <v>29</v>
      </c>
      <c r="F40" s="12" t="s">
        <v>41</v>
      </c>
      <c r="G40" s="16">
        <v>0.48878472222222225</v>
      </c>
      <c r="H40" s="14">
        <v>0</v>
      </c>
      <c r="I40" s="14">
        <v>31.8</v>
      </c>
      <c r="J40" s="14">
        <v>0</v>
      </c>
      <c r="K40" s="14">
        <v>1.5</v>
      </c>
      <c r="L40" s="14">
        <v>30.466666666666669</v>
      </c>
      <c r="M40" s="14">
        <v>23</v>
      </c>
      <c r="N40" s="14">
        <v>134.3833333333333</v>
      </c>
      <c r="O40" s="14">
        <v>0</v>
      </c>
      <c r="P40" s="14">
        <v>0.22156090055420241</v>
      </c>
      <c r="Q40" s="14">
        <v>0</v>
      </c>
      <c r="R40" s="14">
        <v>0.11647473715777031</v>
      </c>
      <c r="S40" s="14">
        <v>21.52025885865341</v>
      </c>
      <c r="T40" s="14">
        <v>17.069852156212249</v>
      </c>
      <c r="U40" s="14">
        <v>102.738159054381</v>
      </c>
      <c r="V40" s="18"/>
      <c r="W40" s="18"/>
      <c r="X40" s="18"/>
      <c r="Y40" s="18"/>
      <c r="Z40" s="18"/>
      <c r="AA40" s="14" t="str">
        <f>IF(AND(D40&lt;&gt;"EV",D40&lt;&gt;"Diesel"),"Invalid vehicle",IF(COUNTIFS(Routes[Corridor],E40,Routes[Direction],F40)=0,"Unknown route",IF(C40="","Missing date",IF(SUM(O40:U40)&lt;=0,"No distance","OK"))))</f>
        <v>OK</v>
      </c>
      <c r="AB40" s="17">
        <f t="shared" si="47"/>
        <v>46204</v>
      </c>
      <c r="AC40" s="14">
        <f>--(COUNTIFS($C$5:C40,C40,$D$5:D40,D40,$G$5:G40,G40,$F$5:F40,F40)=1)</f>
        <v>0</v>
      </c>
      <c r="AD40" s="14">
        <f t="shared" si="73"/>
        <v>0</v>
      </c>
      <c r="AE40" s="14">
        <f t="shared" si="74"/>
        <v>1</v>
      </c>
      <c r="AF40" s="14">
        <f t="shared" si="48"/>
        <v>0</v>
      </c>
      <c r="AG40" s="14">
        <f>SUMIFS(Routes[Net elevation (m)],Routes[Corridor],E40,Routes[Direction],F40)</f>
        <v>-5</v>
      </c>
      <c r="AH40" s="14">
        <f t="shared" si="75"/>
        <v>14500</v>
      </c>
      <c r="AI40" s="14">
        <f t="shared" si="76"/>
        <v>0.25</v>
      </c>
      <c r="AJ40" s="14">
        <f t="shared" si="77"/>
        <v>8.1</v>
      </c>
      <c r="AK40" s="14">
        <f t="shared" si="49"/>
        <v>141.66630570695864</v>
      </c>
      <c r="AL40" s="14">
        <f t="shared" si="50"/>
        <v>3.6858333333333331</v>
      </c>
      <c r="AM40" s="14">
        <f t="shared" si="51"/>
        <v>3.6858333333333331</v>
      </c>
      <c r="AN40" s="14">
        <f t="shared" si="52"/>
        <v>0.53</v>
      </c>
      <c r="AO40" s="14">
        <f t="shared" si="53"/>
        <v>3.1558333333333328</v>
      </c>
      <c r="AP40" s="14">
        <f t="shared" si="54"/>
        <v>44.820093416341521</v>
      </c>
      <c r="AQ40" s="14">
        <f t="shared" si="55"/>
        <v>4.6589894863108121</v>
      </c>
      <c r="AR40" s="14">
        <f t="shared" si="56"/>
        <v>42.381253769776954</v>
      </c>
      <c r="AS40" s="14">
        <f t="shared" si="57"/>
        <v>44.530049103162384</v>
      </c>
      <c r="AT40" s="14">
        <f t="shared" si="58"/>
        <v>45.87093793820808</v>
      </c>
      <c r="AU40" s="14">
        <f t="shared" si="78"/>
        <v>51.637990122776941</v>
      </c>
      <c r="AV40" s="14">
        <f t="shared" si="79"/>
        <v>7.0027412949888639</v>
      </c>
      <c r="AW40" s="14">
        <f t="shared" si="59"/>
        <v>21.669705100727395</v>
      </c>
      <c r="AX40" s="14">
        <f t="shared" si="80"/>
        <v>-0.1975625</v>
      </c>
      <c r="AY40" s="14">
        <f t="shared" si="60"/>
        <v>51.637990122776941</v>
      </c>
      <c r="AZ40" s="14">
        <f t="shared" si="81"/>
        <v>-9.8781250000000001E-2</v>
      </c>
      <c r="BA40" s="14">
        <f t="shared" si="82"/>
        <v>14.765745055738531</v>
      </c>
      <c r="BB40" s="14">
        <f t="shared" si="61"/>
        <v>73.208913973504337</v>
      </c>
      <c r="BC40" s="14">
        <f t="shared" si="83"/>
        <v>227.35687569411283</v>
      </c>
      <c r="BD40" s="14">
        <f t="shared" si="84"/>
        <v>73.034999999999997</v>
      </c>
      <c r="BE40" s="14">
        <f t="shared" si="85"/>
        <v>13.213194444444445</v>
      </c>
      <c r="BF40" s="14">
        <f t="shared" si="86"/>
        <v>0</v>
      </c>
      <c r="BG40" s="14">
        <f t="shared" si="62"/>
        <v>313.60507013855732</v>
      </c>
      <c r="BH40" s="14" t="str">
        <f t="shared" si="87"/>
        <v/>
      </c>
      <c r="BI40" s="14">
        <f t="shared" si="88"/>
        <v>1</v>
      </c>
      <c r="BJ40" s="14">
        <f t="shared" si="63"/>
        <v>313.60507013855732</v>
      </c>
      <c r="BK40" s="14">
        <f t="shared" si="33"/>
        <v>1128.9782524988063</v>
      </c>
      <c r="BL40" s="14">
        <f t="shared" si="89"/>
        <v>31.447862186596279</v>
      </c>
      <c r="BM40" s="14" t="str">
        <f t="shared" si="90"/>
        <v/>
      </c>
      <c r="BN40" s="14">
        <f t="shared" si="64"/>
        <v>2.2136884884064076</v>
      </c>
      <c r="BO40" s="14">
        <f t="shared" si="65"/>
        <v>0.45173474282277221</v>
      </c>
      <c r="BP40" s="14">
        <f t="shared" si="66"/>
        <v>4.5047992409270892</v>
      </c>
      <c r="BQ40" s="22">
        <f t="shared" si="67"/>
        <v>0.23344301780949875</v>
      </c>
      <c r="BR40" s="14">
        <f t="shared" si="91"/>
        <v>2893.2033211668577</v>
      </c>
      <c r="BS40" s="14">
        <f t="shared" si="92"/>
        <v>84.280270660078031</v>
      </c>
      <c r="BT40" s="14">
        <f t="shared" si="68"/>
        <v>20.422663714768866</v>
      </c>
      <c r="BU40" s="14">
        <f t="shared" si="69"/>
        <v>0.59492107343022349</v>
      </c>
      <c r="BV40" s="22" t="str">
        <f t="shared" si="70"/>
        <v/>
      </c>
      <c r="BW40" s="14" t="e">
        <f t="shared" si="71"/>
        <v>#N/A</v>
      </c>
      <c r="BX40" s="14" t="e">
        <f t="shared" si="72"/>
        <v>#N/A</v>
      </c>
    </row>
    <row r="41" spans="1:76" x14ac:dyDescent="0.25">
      <c r="A41" s="12" t="s">
        <v>492</v>
      </c>
      <c r="B41" s="12" t="s">
        <v>165</v>
      </c>
      <c r="C41" s="15">
        <v>46220</v>
      </c>
      <c r="D41" s="12" t="s">
        <v>300</v>
      </c>
      <c r="E41" s="12" t="s">
        <v>29</v>
      </c>
      <c r="F41" s="12" t="s">
        <v>41</v>
      </c>
      <c r="G41" s="16">
        <v>0.33325231481481482</v>
      </c>
      <c r="H41" s="14">
        <v>0</v>
      </c>
      <c r="I41" s="14">
        <v>30.18333333333333</v>
      </c>
      <c r="J41" s="14">
        <v>13.90325</v>
      </c>
      <c r="K41" s="14">
        <v>4.2333333333333334</v>
      </c>
      <c r="L41" s="14">
        <v>46.35</v>
      </c>
      <c r="M41" s="14">
        <v>31.983333333333331</v>
      </c>
      <c r="N41" s="14">
        <v>93.283333333333331</v>
      </c>
      <c r="O41" s="14">
        <v>0</v>
      </c>
      <c r="P41" s="14">
        <v>0.38306581509713777</v>
      </c>
      <c r="Q41" s="14">
        <v>2.1897722900283969</v>
      </c>
      <c r="R41" s="14">
        <v>0.27392076034226231</v>
      </c>
      <c r="S41" s="14">
        <v>38.075352356880842</v>
      </c>
      <c r="T41" s="14">
        <v>25.722958107605791</v>
      </c>
      <c r="U41" s="14">
        <v>79.472710896771332</v>
      </c>
      <c r="V41" s="18"/>
      <c r="W41" s="18"/>
      <c r="X41" s="18"/>
      <c r="Y41" s="18"/>
      <c r="Z41" s="18"/>
      <c r="AA41" s="14" t="str">
        <f>IF(AND(D41&lt;&gt;"EV",D41&lt;&gt;"Diesel"),"Invalid vehicle",IF(COUNTIFS(Routes[Corridor],E41,Routes[Direction],F41)=0,"Unknown route",IF(C41="","Missing date",IF(SUM(O41:U41)&lt;=0,"No distance","OK"))))</f>
        <v>OK</v>
      </c>
      <c r="AB41" s="17">
        <f t="shared" si="47"/>
        <v>46204</v>
      </c>
      <c r="AC41" s="14">
        <f>--(COUNTIFS($C$5:C41,C41,$D$5:D41,D41,$G$5:G41,G41,$F$5:F41,F41)=1)</f>
        <v>1</v>
      </c>
      <c r="AD41" s="14">
        <f t="shared" si="73"/>
        <v>0</v>
      </c>
      <c r="AE41" s="14">
        <f t="shared" si="74"/>
        <v>1</v>
      </c>
      <c r="AF41" s="14">
        <f t="shared" si="48"/>
        <v>0</v>
      </c>
      <c r="AG41" s="14">
        <f>SUMIFS(Routes[Net elevation (m)],Routes[Corridor],E41,Routes[Direction],F41)</f>
        <v>-5</v>
      </c>
      <c r="AH41" s="14">
        <f t="shared" si="75"/>
        <v>16500</v>
      </c>
      <c r="AI41" s="14">
        <f t="shared" si="76"/>
        <v>0.25</v>
      </c>
      <c r="AJ41" s="14">
        <f t="shared" si="77"/>
        <v>8.1</v>
      </c>
      <c r="AK41" s="14">
        <f t="shared" si="49"/>
        <v>146.11778022672576</v>
      </c>
      <c r="AL41" s="14">
        <f t="shared" si="50"/>
        <v>3.6656097222222219</v>
      </c>
      <c r="AM41" s="14">
        <f t="shared" si="51"/>
        <v>3.6656097222222219</v>
      </c>
      <c r="AN41" s="14">
        <f t="shared" si="52"/>
        <v>0.73477638888888885</v>
      </c>
      <c r="AO41" s="14">
        <f t="shared" si="53"/>
        <v>2.9308333333333332</v>
      </c>
      <c r="AP41" s="14">
        <f t="shared" si="54"/>
        <v>48.977517926050695</v>
      </c>
      <c r="AQ41" s="14">
        <f t="shared" si="55"/>
        <v>3.8823414851659228</v>
      </c>
      <c r="AR41" s="14">
        <f t="shared" si="56"/>
        <v>49.288482015379728</v>
      </c>
      <c r="AS41" s="14">
        <f t="shared" si="57"/>
        <v>48.25567961822869</v>
      </c>
      <c r="AT41" s="14">
        <f t="shared" si="58"/>
        <v>51.11698396076055</v>
      </c>
      <c r="AU41" s="14">
        <f t="shared" si="78"/>
        <v>58.124137890894701</v>
      </c>
      <c r="AV41" s="14">
        <f t="shared" si="79"/>
        <v>12.133265396986177</v>
      </c>
      <c r="AW41" s="14">
        <f t="shared" si="59"/>
        <v>43.628007908925959</v>
      </c>
      <c r="AX41" s="14">
        <f t="shared" si="80"/>
        <v>-0.2248125</v>
      </c>
      <c r="AY41" s="14">
        <f t="shared" si="60"/>
        <v>58.124137890894701</v>
      </c>
      <c r="AZ41" s="14">
        <f t="shared" si="81"/>
        <v>-0.11240625</v>
      </c>
      <c r="BA41" s="14">
        <f t="shared" si="82"/>
        <v>31.607148761939783</v>
      </c>
      <c r="BB41" s="14">
        <f t="shared" si="61"/>
        <v>101.63973954982065</v>
      </c>
      <c r="BC41" s="14">
        <f t="shared" si="83"/>
        <v>122.55349315707561</v>
      </c>
      <c r="BD41" s="14">
        <f t="shared" si="84"/>
        <v>29.691438749999996</v>
      </c>
      <c r="BE41" s="14">
        <f t="shared" si="85"/>
        <v>0</v>
      </c>
      <c r="BF41" s="14">
        <f t="shared" si="86"/>
        <v>15.728033295428853</v>
      </c>
      <c r="BG41" s="14">
        <f t="shared" si="62"/>
        <v>136.51689861164675</v>
      </c>
      <c r="BH41" s="14" t="str">
        <f t="shared" si="87"/>
        <v/>
      </c>
      <c r="BI41" s="14">
        <f t="shared" si="88"/>
        <v>1</v>
      </c>
      <c r="BJ41" s="14">
        <f t="shared" si="63"/>
        <v>136.51689861164675</v>
      </c>
      <c r="BK41" s="14">
        <f t="shared" si="33"/>
        <v>491.46083500192833</v>
      </c>
      <c r="BL41" s="14" t="str">
        <f t="shared" si="89"/>
        <v/>
      </c>
      <c r="BM41" s="14">
        <f t="shared" si="90"/>
        <v>148.38793327352909</v>
      </c>
      <c r="BN41" s="14">
        <f t="shared" si="64"/>
        <v>0.93429354319384228</v>
      </c>
      <c r="BO41" s="14">
        <f t="shared" si="65"/>
        <v>1.0703274225588064</v>
      </c>
      <c r="BP41" s="14" t="str">
        <f t="shared" si="66"/>
        <v/>
      </c>
      <c r="BQ41" s="22">
        <f t="shared" si="67"/>
        <v>0.74452130529977767</v>
      </c>
      <c r="BR41" s="14">
        <f t="shared" si="91"/>
        <v>1409.6853660985264</v>
      </c>
      <c r="BS41" s="14">
        <f t="shared" si="92"/>
        <v>105.35543262420565</v>
      </c>
      <c r="BT41" s="14">
        <f t="shared" si="68"/>
        <v>9.6475963699364158</v>
      </c>
      <c r="BU41" s="14">
        <f t="shared" si="69"/>
        <v>0.72103088659524783</v>
      </c>
      <c r="BV41" s="22" t="str">
        <f t="shared" si="70"/>
        <v/>
      </c>
      <c r="BW41" s="14" t="e">
        <f t="shared" si="71"/>
        <v>#N/A</v>
      </c>
      <c r="BX41" s="14" t="e">
        <f t="shared" si="72"/>
        <v>#N/A</v>
      </c>
    </row>
    <row r="42" spans="1:76" x14ac:dyDescent="0.25">
      <c r="A42" s="12" t="s">
        <v>493</v>
      </c>
      <c r="B42" s="12" t="s">
        <v>165</v>
      </c>
      <c r="C42" s="15">
        <v>46222</v>
      </c>
      <c r="D42" s="12" t="s">
        <v>457</v>
      </c>
      <c r="E42" s="12" t="s">
        <v>29</v>
      </c>
      <c r="F42" s="12" t="s">
        <v>41</v>
      </c>
      <c r="G42" s="16">
        <v>0.46440972222222221</v>
      </c>
      <c r="H42" s="14">
        <v>0</v>
      </c>
      <c r="I42" s="14">
        <v>71.083333333333329</v>
      </c>
      <c r="J42" s="14">
        <v>4.05</v>
      </c>
      <c r="K42" s="14">
        <v>11.6</v>
      </c>
      <c r="L42" s="14">
        <v>38.68333333333333</v>
      </c>
      <c r="M42" s="14">
        <v>26.81666666666667</v>
      </c>
      <c r="N42" s="14">
        <v>116.98333333333331</v>
      </c>
      <c r="O42" s="14">
        <v>0</v>
      </c>
      <c r="P42" s="14">
        <v>0.57197412560405814</v>
      </c>
      <c r="Q42" s="14">
        <v>0.55256306869115623</v>
      </c>
      <c r="R42" s="14">
        <v>1.033360466311896</v>
      </c>
      <c r="S42" s="14">
        <v>27.609909695058061</v>
      </c>
      <c r="T42" s="14">
        <v>19.892928271907479</v>
      </c>
      <c r="U42" s="14">
        <v>96.565811989808935</v>
      </c>
      <c r="V42" s="18"/>
      <c r="W42" s="18"/>
      <c r="X42" s="18"/>
      <c r="Y42" s="18"/>
      <c r="Z42" s="18"/>
      <c r="AA42" s="14" t="str">
        <f>IF(AND(D42&lt;&gt;"EV",D42&lt;&gt;"Diesel"),"Invalid vehicle",IF(COUNTIFS(Routes[Corridor],E42,Routes[Direction],F42)=0,"Unknown route",IF(C42="","Missing date",IF(SUM(O42:U42)&lt;=0,"No distance","OK"))))</f>
        <v>OK</v>
      </c>
      <c r="AB42" s="17">
        <f t="shared" si="47"/>
        <v>46204</v>
      </c>
      <c r="AC42" s="14">
        <f>--(COUNTIFS($C$5:C42,C42,$D$5:D42,D42,$G$5:G42,G42,$F$5:F42,F42)=1)</f>
        <v>0</v>
      </c>
      <c r="AD42" s="14">
        <f t="shared" si="73"/>
        <v>0</v>
      </c>
      <c r="AE42" s="14">
        <f t="shared" si="74"/>
        <v>1</v>
      </c>
      <c r="AF42" s="14">
        <f t="shared" si="48"/>
        <v>0</v>
      </c>
      <c r="AG42" s="14">
        <f>SUMIFS(Routes[Net elevation (m)],Routes[Corridor],E42,Routes[Direction],F42)</f>
        <v>-5</v>
      </c>
      <c r="AH42" s="14">
        <f t="shared" si="75"/>
        <v>14500</v>
      </c>
      <c r="AI42" s="14">
        <f t="shared" si="76"/>
        <v>0.25</v>
      </c>
      <c r="AJ42" s="14">
        <f t="shared" si="77"/>
        <v>8.1</v>
      </c>
      <c r="AK42" s="14">
        <f t="shared" si="49"/>
        <v>146.22654761738158</v>
      </c>
      <c r="AL42" s="14">
        <f t="shared" si="50"/>
        <v>4.4869444444444442</v>
      </c>
      <c r="AM42" s="14">
        <f t="shared" si="51"/>
        <v>4.4869444444444442</v>
      </c>
      <c r="AN42" s="14">
        <f t="shared" si="52"/>
        <v>1.2522222222222221</v>
      </c>
      <c r="AO42" s="14">
        <f t="shared" si="53"/>
        <v>3.2347222222222221</v>
      </c>
      <c r="AP42" s="14">
        <f t="shared" si="54"/>
        <v>44.857641693697808</v>
      </c>
      <c r="AQ42" s="14">
        <f t="shared" si="55"/>
        <v>5.3449679291994627</v>
      </c>
      <c r="AR42" s="14">
        <f t="shared" si="56"/>
        <v>42.824504481778987</v>
      </c>
      <c r="AS42" s="14">
        <f t="shared" si="57"/>
        <v>44.508727022291438</v>
      </c>
      <c r="AT42" s="14">
        <f t="shared" si="58"/>
        <v>49.527984493989493</v>
      </c>
      <c r="AU42" s="14">
        <f t="shared" si="78"/>
        <v>54.323183776157009</v>
      </c>
      <c r="AV42" s="14">
        <f t="shared" si="79"/>
        <v>8.1583353560627749</v>
      </c>
      <c r="AW42" s="14">
        <f t="shared" si="59"/>
        <v>27.801645179051519</v>
      </c>
      <c r="AX42" s="14">
        <f t="shared" si="80"/>
        <v>-0.1975625</v>
      </c>
      <c r="AY42" s="14">
        <f t="shared" si="60"/>
        <v>54.323183776157009</v>
      </c>
      <c r="AZ42" s="14">
        <f t="shared" si="81"/>
        <v>-9.8781250000000001E-2</v>
      </c>
      <c r="BA42" s="14">
        <f t="shared" si="82"/>
        <v>19.742091072988742</v>
      </c>
      <c r="BB42" s="14">
        <f t="shared" si="61"/>
        <v>82.026047705208526</v>
      </c>
      <c r="BC42" s="14">
        <f t="shared" si="83"/>
        <v>254.7392785876041</v>
      </c>
      <c r="BD42" s="14">
        <f t="shared" si="84"/>
        <v>74.86071428571428</v>
      </c>
      <c r="BE42" s="14">
        <f t="shared" si="85"/>
        <v>31.218595679012342</v>
      </c>
      <c r="BF42" s="14">
        <f t="shared" si="86"/>
        <v>0</v>
      </c>
      <c r="BG42" s="14">
        <f t="shared" si="62"/>
        <v>360.81858855233077</v>
      </c>
      <c r="BH42" s="14" t="str">
        <f t="shared" si="87"/>
        <v/>
      </c>
      <c r="BI42" s="14">
        <f t="shared" si="88"/>
        <v>1</v>
      </c>
      <c r="BJ42" s="14">
        <f t="shared" si="63"/>
        <v>360.81858855233077</v>
      </c>
      <c r="BK42" s="14">
        <f t="shared" si="33"/>
        <v>1298.9469187883908</v>
      </c>
      <c r="BL42" s="14">
        <f t="shared" si="89"/>
        <v>36.182365425860468</v>
      </c>
      <c r="BM42" s="14" t="str">
        <f t="shared" si="90"/>
        <v/>
      </c>
      <c r="BN42" s="14">
        <f t="shared" si="64"/>
        <v>2.4675313370350076</v>
      </c>
      <c r="BO42" s="14">
        <f t="shared" si="65"/>
        <v>0.40526334356572052</v>
      </c>
      <c r="BP42" s="14">
        <f t="shared" si="66"/>
        <v>4.0413761205581578</v>
      </c>
      <c r="BQ42" s="22">
        <f t="shared" si="67"/>
        <v>0.22733320928478717</v>
      </c>
      <c r="BR42" s="14">
        <f t="shared" si="91"/>
        <v>3328.7776191791631</v>
      </c>
      <c r="BS42" s="14">
        <f t="shared" si="92"/>
        <v>96.968739341306062</v>
      </c>
      <c r="BT42" s="14">
        <f t="shared" si="68"/>
        <v>22.764523087075055</v>
      </c>
      <c r="BU42" s="14">
        <f t="shared" si="69"/>
        <v>0.6631404551452299</v>
      </c>
      <c r="BV42" s="22" t="str">
        <f t="shared" si="70"/>
        <v/>
      </c>
      <c r="BW42" s="14" t="e">
        <f t="shared" si="71"/>
        <v>#N/A</v>
      </c>
      <c r="BX42" s="14" t="e">
        <f t="shared" si="72"/>
        <v>#N/A</v>
      </c>
    </row>
    <row r="43" spans="1:76" x14ac:dyDescent="0.25">
      <c r="A43" s="12" t="s">
        <v>494</v>
      </c>
      <c r="B43" s="12" t="s">
        <v>168</v>
      </c>
      <c r="C43" s="15">
        <v>46222</v>
      </c>
      <c r="D43" s="12" t="s">
        <v>300</v>
      </c>
      <c r="E43" s="12" t="s">
        <v>29</v>
      </c>
      <c r="F43" s="12" t="s">
        <v>41</v>
      </c>
      <c r="G43" s="16">
        <v>0.39370370370370372</v>
      </c>
      <c r="H43" s="14">
        <v>0</v>
      </c>
      <c r="I43" s="14">
        <v>8.9333333333333336</v>
      </c>
      <c r="J43" s="14">
        <v>4.7779333333333334</v>
      </c>
      <c r="K43" s="14">
        <v>0</v>
      </c>
      <c r="L43" s="14">
        <v>45.070950000000003</v>
      </c>
      <c r="M43" s="14">
        <v>34.966666666666669</v>
      </c>
      <c r="N43" s="14">
        <v>92.36666666666666</v>
      </c>
      <c r="O43" s="14">
        <v>0</v>
      </c>
      <c r="P43" s="14">
        <v>0.25917593164792052</v>
      </c>
      <c r="Q43" s="14">
        <v>0.71970849070423348</v>
      </c>
      <c r="R43" s="14">
        <v>0</v>
      </c>
      <c r="S43" s="14">
        <v>36.700109732675372</v>
      </c>
      <c r="T43" s="14">
        <v>27.29337511764809</v>
      </c>
      <c r="U43" s="14">
        <v>76.745440672119003</v>
      </c>
      <c r="V43" s="18"/>
      <c r="W43" s="18"/>
      <c r="X43" s="18"/>
      <c r="Y43" s="18"/>
      <c r="Z43" s="18"/>
      <c r="AA43" s="14" t="str">
        <f>IF(AND(D43&lt;&gt;"EV",D43&lt;&gt;"Diesel"),"Invalid vehicle",IF(COUNTIFS(Routes[Corridor],E43,Routes[Direction],F43)=0,"Unknown route",IF(C43="","Missing date",IF(SUM(O43:U43)&lt;=0,"No distance","OK"))))</f>
        <v>OK</v>
      </c>
      <c r="AB43" s="17">
        <f t="shared" si="47"/>
        <v>46204</v>
      </c>
      <c r="AC43" s="14">
        <f>--(COUNTIFS($C$5:C43,C43,$D$5:D43,D43,$G$5:G43,G43,$F$5:F43,F43)=1)</f>
        <v>1</v>
      </c>
      <c r="AD43" s="14">
        <f t="shared" si="73"/>
        <v>0</v>
      </c>
      <c r="AE43" s="14">
        <f t="shared" si="74"/>
        <v>1</v>
      </c>
      <c r="AF43" s="14">
        <f t="shared" si="48"/>
        <v>0</v>
      </c>
      <c r="AG43" s="14">
        <f>SUMIFS(Routes[Net elevation (m)],Routes[Corridor],E43,Routes[Direction],F43)</f>
        <v>-5</v>
      </c>
      <c r="AH43" s="14">
        <f t="shared" si="75"/>
        <v>16500</v>
      </c>
      <c r="AI43" s="14">
        <f t="shared" si="76"/>
        <v>0.25</v>
      </c>
      <c r="AJ43" s="14">
        <f t="shared" si="77"/>
        <v>8.1</v>
      </c>
      <c r="AK43" s="14">
        <f t="shared" si="49"/>
        <v>141.71780994479462</v>
      </c>
      <c r="AL43" s="14">
        <f t="shared" si="50"/>
        <v>3.101925833333333</v>
      </c>
      <c r="AM43" s="14">
        <f t="shared" si="51"/>
        <v>3.101925833333333</v>
      </c>
      <c r="AN43" s="14">
        <f t="shared" si="52"/>
        <v>0.22852111111111112</v>
      </c>
      <c r="AO43" s="14">
        <f t="shared" si="53"/>
        <v>2.8734047222222228</v>
      </c>
      <c r="AP43" s="14">
        <f t="shared" si="54"/>
        <v>48.979847646940016</v>
      </c>
      <c r="AQ43" s="14">
        <f t="shared" si="55"/>
        <v>0</v>
      </c>
      <c r="AR43" s="14">
        <f t="shared" si="56"/>
        <v>48.856449308490767</v>
      </c>
      <c r="AS43" s="14">
        <f t="shared" si="57"/>
        <v>46.833246150397102</v>
      </c>
      <c r="AT43" s="14">
        <f t="shared" si="58"/>
        <v>49.852686109640636</v>
      </c>
      <c r="AU43" s="14">
        <f t="shared" si="78"/>
        <v>54.774025978599511</v>
      </c>
      <c r="AV43" s="14">
        <f t="shared" si="79"/>
        <v>12.625192400181286</v>
      </c>
      <c r="AW43" s="14">
        <f t="shared" si="59"/>
        <v>42.05220906869053</v>
      </c>
      <c r="AX43" s="14">
        <f t="shared" si="80"/>
        <v>-0.2248125</v>
      </c>
      <c r="AY43" s="14">
        <f t="shared" si="60"/>
        <v>54.774025978599511</v>
      </c>
      <c r="AZ43" s="14">
        <f t="shared" si="81"/>
        <v>-0.11240625</v>
      </c>
      <c r="BA43" s="14">
        <f t="shared" si="82"/>
        <v>29.539422918509246</v>
      </c>
      <c r="BB43" s="14">
        <f t="shared" si="61"/>
        <v>96.713828797290034</v>
      </c>
      <c r="BC43" s="14">
        <f t="shared" si="83"/>
        <v>116.61400952226448</v>
      </c>
      <c r="BD43" s="14">
        <f t="shared" si="84"/>
        <v>25.125599249999997</v>
      </c>
      <c r="BE43" s="14">
        <f t="shared" si="85"/>
        <v>0</v>
      </c>
      <c r="BF43" s="14">
        <f t="shared" si="86"/>
        <v>14.699112238479383</v>
      </c>
      <c r="BG43" s="14">
        <f t="shared" si="62"/>
        <v>127.0404965337851</v>
      </c>
      <c r="BH43" s="14" t="str">
        <f t="shared" si="87"/>
        <v/>
      </c>
      <c r="BI43" s="14">
        <f t="shared" si="88"/>
        <v>1</v>
      </c>
      <c r="BJ43" s="14">
        <f t="shared" si="63"/>
        <v>127.0404965337851</v>
      </c>
      <c r="BK43" s="14">
        <f t="shared" si="33"/>
        <v>457.34578752162639</v>
      </c>
      <c r="BL43" s="14" t="str">
        <f t="shared" si="89"/>
        <v/>
      </c>
      <c r="BM43" s="14">
        <f t="shared" si="90"/>
        <v>138.08749623237512</v>
      </c>
      <c r="BN43" s="14">
        <f t="shared" si="64"/>
        <v>0.89643282367454746</v>
      </c>
      <c r="BO43" s="14">
        <f t="shared" si="65"/>
        <v>1.1155325570307908</v>
      </c>
      <c r="BP43" s="14" t="str">
        <f t="shared" si="66"/>
        <v/>
      </c>
      <c r="BQ43" s="22">
        <f t="shared" si="67"/>
        <v>0.76128346028283977</v>
      </c>
      <c r="BR43" s="14">
        <f t="shared" si="91"/>
        <v>1311.8312142075636</v>
      </c>
      <c r="BS43" s="14">
        <f t="shared" si="92"/>
        <v>98.042122324986323</v>
      </c>
      <c r="BT43" s="14">
        <f t="shared" si="68"/>
        <v>9.256643287943696</v>
      </c>
      <c r="BU43" s="14">
        <f t="shared" si="69"/>
        <v>0.69181228783579196</v>
      </c>
      <c r="BV43" s="22" t="str">
        <f t="shared" si="70"/>
        <v/>
      </c>
      <c r="BW43" s="14" t="e">
        <f t="shared" si="71"/>
        <v>#N/A</v>
      </c>
      <c r="BX43" s="14" t="e">
        <f t="shared" si="72"/>
        <v>#N/A</v>
      </c>
    </row>
    <row r="44" spans="1:76" x14ac:dyDescent="0.25">
      <c r="A44" s="12" t="s">
        <v>495</v>
      </c>
      <c r="B44" s="12" t="s">
        <v>168</v>
      </c>
      <c r="C44" s="15">
        <v>46220</v>
      </c>
      <c r="D44" s="12" t="s">
        <v>457</v>
      </c>
      <c r="E44" s="12" t="s">
        <v>29</v>
      </c>
      <c r="F44" s="12" t="s">
        <v>41</v>
      </c>
      <c r="G44" s="16">
        <v>0.48878472222222225</v>
      </c>
      <c r="H44" s="14">
        <v>0</v>
      </c>
      <c r="I44" s="14">
        <v>31.8</v>
      </c>
      <c r="J44" s="14">
        <v>0</v>
      </c>
      <c r="K44" s="14">
        <v>1.5</v>
      </c>
      <c r="L44" s="14">
        <v>30.466666666666669</v>
      </c>
      <c r="M44" s="14">
        <v>23</v>
      </c>
      <c r="N44" s="14">
        <v>134.3833333333333</v>
      </c>
      <c r="O44" s="14">
        <v>0</v>
      </c>
      <c r="P44" s="14">
        <v>0.22156090055420241</v>
      </c>
      <c r="Q44" s="14">
        <v>0</v>
      </c>
      <c r="R44" s="14">
        <v>0.11647473715777031</v>
      </c>
      <c r="S44" s="14">
        <v>21.563271544616299</v>
      </c>
      <c r="T44" s="14">
        <v>17.074263189728988</v>
      </c>
      <c r="U44" s="14">
        <v>102.738159054381</v>
      </c>
      <c r="V44" s="18"/>
      <c r="W44" s="18"/>
      <c r="X44" s="18"/>
      <c r="Y44" s="18"/>
      <c r="Z44" s="18"/>
      <c r="AA44" s="14" t="str">
        <f>IF(AND(D44&lt;&gt;"EV",D44&lt;&gt;"Diesel"),"Invalid vehicle",IF(COUNTIFS(Routes[Corridor],E44,Routes[Direction],F44)=0,"Unknown route",IF(C44="","Missing date",IF(SUM(O44:U44)&lt;=0,"No distance","OK"))))</f>
        <v>OK</v>
      </c>
      <c r="AB44" s="17">
        <f t="shared" si="47"/>
        <v>46204</v>
      </c>
      <c r="AC44" s="14">
        <f>--(COUNTIFS($C$5:C44,C44,$D$5:D44,D44,$G$5:G44,G44,$F$5:F44,F44)=1)</f>
        <v>0</v>
      </c>
      <c r="AD44" s="14">
        <f t="shared" si="73"/>
        <v>0</v>
      </c>
      <c r="AE44" s="14">
        <f t="shared" si="74"/>
        <v>1</v>
      </c>
      <c r="AF44" s="14">
        <f t="shared" si="48"/>
        <v>0</v>
      </c>
      <c r="AG44" s="14">
        <f>SUMIFS(Routes[Net elevation (m)],Routes[Corridor],E44,Routes[Direction],F44)</f>
        <v>-5</v>
      </c>
      <c r="AH44" s="14">
        <f t="shared" si="75"/>
        <v>14500</v>
      </c>
      <c r="AI44" s="14">
        <f t="shared" si="76"/>
        <v>0.25</v>
      </c>
      <c r="AJ44" s="14">
        <f t="shared" si="77"/>
        <v>8.1</v>
      </c>
      <c r="AK44" s="14">
        <f t="shared" si="49"/>
        <v>141.71372942643825</v>
      </c>
      <c r="AL44" s="14">
        <f t="shared" si="50"/>
        <v>3.6858333333333331</v>
      </c>
      <c r="AM44" s="14">
        <f t="shared" si="51"/>
        <v>3.6858333333333331</v>
      </c>
      <c r="AN44" s="14">
        <f t="shared" si="52"/>
        <v>0.53</v>
      </c>
      <c r="AO44" s="14">
        <f t="shared" si="53"/>
        <v>3.1558333333333328</v>
      </c>
      <c r="AP44" s="14">
        <f t="shared" si="54"/>
        <v>44.83512073701106</v>
      </c>
      <c r="AQ44" s="14">
        <f t="shared" si="55"/>
        <v>4.6589894863108121</v>
      </c>
      <c r="AR44" s="14">
        <f t="shared" si="56"/>
        <v>42.465961466421597</v>
      </c>
      <c r="AS44" s="14">
        <f t="shared" si="57"/>
        <v>44.541556147119095</v>
      </c>
      <c r="AT44" s="14">
        <f t="shared" si="58"/>
        <v>45.87093793820808</v>
      </c>
      <c r="AU44" s="14">
        <f t="shared" si="78"/>
        <v>51.665540156805676</v>
      </c>
      <c r="AV44" s="14">
        <f t="shared" si="79"/>
        <v>7.0057304297578655</v>
      </c>
      <c r="AW44" s="14">
        <f t="shared" si="59"/>
        <v>21.713016485898358</v>
      </c>
      <c r="AX44" s="14">
        <f t="shared" si="80"/>
        <v>-0.1975625</v>
      </c>
      <c r="AY44" s="14">
        <f t="shared" si="60"/>
        <v>51.665540156805676</v>
      </c>
      <c r="AZ44" s="14">
        <f t="shared" si="81"/>
        <v>-9.8781250000000001E-2</v>
      </c>
      <c r="BA44" s="14">
        <f t="shared" si="82"/>
        <v>14.806067306140493</v>
      </c>
      <c r="BB44" s="14">
        <f t="shared" si="61"/>
        <v>73.279775392704039</v>
      </c>
      <c r="BC44" s="14">
        <f t="shared" si="83"/>
        <v>227.57694221336658</v>
      </c>
      <c r="BD44" s="14">
        <f t="shared" si="84"/>
        <v>73.034999999999997</v>
      </c>
      <c r="BE44" s="14">
        <f t="shared" si="85"/>
        <v>13.213194444444445</v>
      </c>
      <c r="BF44" s="14">
        <f t="shared" si="86"/>
        <v>0</v>
      </c>
      <c r="BG44" s="14">
        <f t="shared" si="62"/>
        <v>313.82513665781102</v>
      </c>
      <c r="BH44" s="14" t="str">
        <f t="shared" si="87"/>
        <v/>
      </c>
      <c r="BI44" s="14">
        <f t="shared" si="88"/>
        <v>1</v>
      </c>
      <c r="BJ44" s="14">
        <f t="shared" si="63"/>
        <v>313.82513665781102</v>
      </c>
      <c r="BK44" s="14">
        <f t="shared" si="33"/>
        <v>1129.7704919681196</v>
      </c>
      <c r="BL44" s="14">
        <f t="shared" si="89"/>
        <v>31.469930138387738</v>
      </c>
      <c r="BM44" s="14" t="str">
        <f t="shared" si="90"/>
        <v/>
      </c>
      <c r="BN44" s="14">
        <f t="shared" si="64"/>
        <v>2.2145005845796581</v>
      </c>
      <c r="BO44" s="14">
        <f t="shared" si="65"/>
        <v>0.45156908377597621</v>
      </c>
      <c r="BP44" s="14">
        <f t="shared" si="66"/>
        <v>4.5031472520993177</v>
      </c>
      <c r="BQ44" s="22">
        <f t="shared" si="67"/>
        <v>0.23350511744572877</v>
      </c>
      <c r="BR44" s="14">
        <f t="shared" si="91"/>
        <v>2895.2335727316718</v>
      </c>
      <c r="BS44" s="14">
        <f t="shared" si="92"/>
        <v>84.33941277087915</v>
      </c>
      <c r="BT44" s="14">
        <f t="shared" si="68"/>
        <v>20.430155810941027</v>
      </c>
      <c r="BU44" s="14">
        <f t="shared" si="69"/>
        <v>0.59513932144915171</v>
      </c>
      <c r="BV44" s="22" t="str">
        <f t="shared" si="70"/>
        <v/>
      </c>
      <c r="BW44" s="14" t="e">
        <f t="shared" si="71"/>
        <v>#N/A</v>
      </c>
      <c r="BX44" s="14" t="e">
        <f t="shared" si="72"/>
        <v>#N/A</v>
      </c>
    </row>
    <row r="45" spans="1:76" x14ac:dyDescent="0.25">
      <c r="A45" s="12" t="s">
        <v>496</v>
      </c>
      <c r="B45" s="12" t="s">
        <v>171</v>
      </c>
      <c r="C45" s="15">
        <v>46220</v>
      </c>
      <c r="D45" s="12" t="s">
        <v>300</v>
      </c>
      <c r="E45" s="12" t="s">
        <v>29</v>
      </c>
      <c r="F45" s="12" t="s">
        <v>41</v>
      </c>
      <c r="G45" s="16">
        <v>0.31877314814814817</v>
      </c>
      <c r="H45" s="14">
        <v>0</v>
      </c>
      <c r="I45" s="14">
        <v>30.18333333333333</v>
      </c>
      <c r="J45" s="14">
        <v>15.93333333333333</v>
      </c>
      <c r="K45" s="14">
        <v>2.1</v>
      </c>
      <c r="L45" s="14">
        <v>50.65</v>
      </c>
      <c r="M45" s="14">
        <v>37.059549999999987</v>
      </c>
      <c r="N45" s="14">
        <v>99.805283333333335</v>
      </c>
      <c r="O45" s="14">
        <v>0</v>
      </c>
      <c r="P45" s="14">
        <v>0.38306581509713777</v>
      </c>
      <c r="Q45" s="14">
        <v>2.3834357776949719</v>
      </c>
      <c r="R45" s="14">
        <v>0.20461421027387261</v>
      </c>
      <c r="S45" s="14">
        <v>40.286147423309231</v>
      </c>
      <c r="T45" s="14">
        <v>27.901828734973211</v>
      </c>
      <c r="U45" s="14">
        <v>82.42120168353226</v>
      </c>
      <c r="V45" s="18"/>
      <c r="W45" s="18"/>
      <c r="X45" s="18"/>
      <c r="Y45" s="18"/>
      <c r="Z45" s="18"/>
      <c r="AA45" s="14" t="str">
        <f>IF(AND(D45&lt;&gt;"EV",D45&lt;&gt;"Diesel"),"Invalid vehicle",IF(COUNTIFS(Routes[Corridor],E45,Routes[Direction],F45)=0,"Unknown route",IF(C45="","Missing date",IF(SUM(O45:U45)&lt;=0,"No distance","OK"))))</f>
        <v>OK</v>
      </c>
      <c r="AB45" s="17">
        <f t="shared" si="47"/>
        <v>46204</v>
      </c>
      <c r="AC45" s="14">
        <f>--(COUNTIFS($C$5:C45,C45,$D$5:D45,D45,$G$5:G45,G45,$F$5:F45,F45)=1)</f>
        <v>1</v>
      </c>
      <c r="AD45" s="14">
        <f t="shared" si="73"/>
        <v>0</v>
      </c>
      <c r="AE45" s="14">
        <f t="shared" si="74"/>
        <v>1</v>
      </c>
      <c r="AF45" s="14">
        <f t="shared" si="48"/>
        <v>0</v>
      </c>
      <c r="AG45" s="14">
        <f>SUMIFS(Routes[Net elevation (m)],Routes[Corridor],E45,Routes[Direction],F45)</f>
        <v>-5</v>
      </c>
      <c r="AH45" s="14">
        <f t="shared" si="75"/>
        <v>16500</v>
      </c>
      <c r="AI45" s="14">
        <f t="shared" si="76"/>
        <v>0.25</v>
      </c>
      <c r="AJ45" s="14">
        <f t="shared" si="77"/>
        <v>8.1</v>
      </c>
      <c r="AK45" s="14">
        <f t="shared" si="49"/>
        <v>153.58029364488067</v>
      </c>
      <c r="AL45" s="14">
        <f t="shared" si="50"/>
        <v>3.9288583333333329</v>
      </c>
      <c r="AM45" s="14">
        <f t="shared" si="51"/>
        <v>3.9288583333333329</v>
      </c>
      <c r="AN45" s="14">
        <f t="shared" si="52"/>
        <v>0.76861111111111102</v>
      </c>
      <c r="AO45" s="14">
        <f t="shared" si="53"/>
        <v>3.160247222222222</v>
      </c>
      <c r="AP45" s="14">
        <f t="shared" si="54"/>
        <v>47.722150024085565</v>
      </c>
      <c r="AQ45" s="14">
        <f t="shared" si="55"/>
        <v>5.8461202935392169</v>
      </c>
      <c r="AR45" s="14">
        <f t="shared" si="56"/>
        <v>47.722978191481815</v>
      </c>
      <c r="AS45" s="14">
        <f t="shared" si="57"/>
        <v>45.173503836349695</v>
      </c>
      <c r="AT45" s="14">
        <f t="shared" si="58"/>
        <v>49.549201563764264</v>
      </c>
      <c r="AU45" s="14">
        <f t="shared" si="78"/>
        <v>59.379428663045694</v>
      </c>
      <c r="AV45" s="14">
        <f t="shared" si="79"/>
        <v>12.619459949483213</v>
      </c>
      <c r="AW45" s="14">
        <f t="shared" si="59"/>
        <v>46.161210589208494</v>
      </c>
      <c r="AX45" s="14">
        <f t="shared" si="80"/>
        <v>-0.2248125</v>
      </c>
      <c r="AY45" s="14">
        <f t="shared" si="60"/>
        <v>59.379428663045694</v>
      </c>
      <c r="AZ45" s="14">
        <f t="shared" si="81"/>
        <v>-0.11240625</v>
      </c>
      <c r="BA45" s="14">
        <f t="shared" si="82"/>
        <v>33.654156889725279</v>
      </c>
      <c r="BB45" s="14">
        <f t="shared" si="61"/>
        <v>105.42823300225417</v>
      </c>
      <c r="BC45" s="14">
        <f t="shared" si="83"/>
        <v>127.12152047055427</v>
      </c>
      <c r="BD45" s="14">
        <f t="shared" si="84"/>
        <v>31.823752499999994</v>
      </c>
      <c r="BE45" s="14">
        <f t="shared" si="85"/>
        <v>0</v>
      </c>
      <c r="BF45" s="14">
        <f t="shared" si="86"/>
        <v>16.746645009896195</v>
      </c>
      <c r="BG45" s="14">
        <f t="shared" si="62"/>
        <v>142.19862796065809</v>
      </c>
      <c r="BH45" s="14" t="str">
        <f t="shared" si="87"/>
        <v/>
      </c>
      <c r="BI45" s="14">
        <f t="shared" si="88"/>
        <v>1</v>
      </c>
      <c r="BJ45" s="14">
        <f t="shared" si="63"/>
        <v>142.19862796065809</v>
      </c>
      <c r="BK45" s="14">
        <f t="shared" si="33"/>
        <v>511.9150606583691</v>
      </c>
      <c r="BL45" s="14" t="str">
        <f t="shared" si="89"/>
        <v/>
      </c>
      <c r="BM45" s="14">
        <f t="shared" si="90"/>
        <v>154.56372604419357</v>
      </c>
      <c r="BN45" s="14">
        <f t="shared" si="64"/>
        <v>0.92589110611716841</v>
      </c>
      <c r="BO45" s="14">
        <f t="shared" si="65"/>
        <v>1.080040615352291</v>
      </c>
      <c r="BP45" s="14" t="str">
        <f t="shared" si="66"/>
        <v/>
      </c>
      <c r="BQ45" s="22">
        <f t="shared" si="67"/>
        <v>0.7414152619772314</v>
      </c>
      <c r="BR45" s="14">
        <f t="shared" si="91"/>
        <v>1468.3553974198389</v>
      </c>
      <c r="BS45" s="14">
        <f t="shared" si="92"/>
        <v>109.74024549137744</v>
      </c>
      <c r="BT45" s="14">
        <f t="shared" si="68"/>
        <v>9.5608320740359769</v>
      </c>
      <c r="BU45" s="14">
        <f t="shared" si="69"/>
        <v>0.7145463971121625</v>
      </c>
      <c r="BV45" s="22" t="str">
        <f t="shared" si="70"/>
        <v/>
      </c>
      <c r="BW45" s="14" t="e">
        <f t="shared" si="71"/>
        <v>#N/A</v>
      </c>
      <c r="BX45" s="14" t="e">
        <f t="shared" si="72"/>
        <v>#N/A</v>
      </c>
    </row>
    <row r="46" spans="1:76" x14ac:dyDescent="0.25">
      <c r="A46" s="12" t="s">
        <v>497</v>
      </c>
      <c r="B46" s="12" t="s">
        <v>171</v>
      </c>
      <c r="C46" s="15">
        <v>46290</v>
      </c>
      <c r="D46" s="12" t="s">
        <v>457</v>
      </c>
      <c r="E46" s="12" t="s">
        <v>29</v>
      </c>
      <c r="F46" s="12" t="s">
        <v>41</v>
      </c>
      <c r="G46" s="16">
        <v>0.60219907407407403</v>
      </c>
      <c r="H46" s="14">
        <v>0</v>
      </c>
      <c r="I46" s="14">
        <v>48.18333333333333</v>
      </c>
      <c r="J46" s="14">
        <v>17.666666666666671</v>
      </c>
      <c r="K46" s="14">
        <v>9.9</v>
      </c>
      <c r="L46" s="14">
        <v>51.033333333333331</v>
      </c>
      <c r="M46" s="14">
        <v>37.133333333333333</v>
      </c>
      <c r="N46" s="14">
        <v>121.65</v>
      </c>
      <c r="O46" s="14">
        <v>0</v>
      </c>
      <c r="P46" s="14">
        <v>0.65269298090049266</v>
      </c>
      <c r="Q46" s="14">
        <v>1.4671353884529701</v>
      </c>
      <c r="R46" s="14">
        <v>1.3169091629820999</v>
      </c>
      <c r="S46" s="14">
        <v>32.226640796549887</v>
      </c>
      <c r="T46" s="14">
        <v>24.26414905968165</v>
      </c>
      <c r="U46" s="14">
        <v>93.660508823399397</v>
      </c>
      <c r="V46" s="18"/>
      <c r="W46" s="18"/>
      <c r="X46" s="18"/>
      <c r="Y46" s="18"/>
      <c r="Z46" s="18"/>
      <c r="AA46" s="14" t="str">
        <f>IF(AND(D46&lt;&gt;"EV",D46&lt;&gt;"Diesel"),"Invalid vehicle",IF(COUNTIFS(Routes[Corridor],E46,Routes[Direction],F46)=0,"Unknown route",IF(C46="","Missing date",IF(SUM(O46:U46)&lt;=0,"No distance","OK"))))</f>
        <v>OK</v>
      </c>
      <c r="AB46" s="17">
        <f t="shared" si="47"/>
        <v>46266</v>
      </c>
      <c r="AC46" s="14">
        <f>--(COUNTIFS($C$5:C46,C46,$D$5:D46,D46,$G$5:G46,G46,$F$5:F46,F46)=1)</f>
        <v>0</v>
      </c>
      <c r="AD46" s="14">
        <f t="shared" si="73"/>
        <v>0</v>
      </c>
      <c r="AE46" s="14">
        <f t="shared" si="74"/>
        <v>1</v>
      </c>
      <c r="AF46" s="14">
        <f t="shared" si="48"/>
        <v>0</v>
      </c>
      <c r="AG46" s="14">
        <f>SUMIFS(Routes[Net elevation (m)],Routes[Corridor],E46,Routes[Direction],F46)</f>
        <v>-5</v>
      </c>
      <c r="AH46" s="14">
        <f t="shared" si="75"/>
        <v>14500</v>
      </c>
      <c r="AI46" s="14">
        <f t="shared" si="76"/>
        <v>0.25</v>
      </c>
      <c r="AJ46" s="14">
        <f t="shared" si="77"/>
        <v>8.1</v>
      </c>
      <c r="AK46" s="14">
        <f t="shared" si="49"/>
        <v>153.58803621196648</v>
      </c>
      <c r="AL46" s="14">
        <f t="shared" si="50"/>
        <v>4.7594444444444441</v>
      </c>
      <c r="AM46" s="14">
        <f t="shared" si="51"/>
        <v>4.7594444444444441</v>
      </c>
      <c r="AN46" s="14">
        <f t="shared" si="52"/>
        <v>1.0974999999999999</v>
      </c>
      <c r="AO46" s="14">
        <f t="shared" si="53"/>
        <v>3.6619444444444444</v>
      </c>
      <c r="AP46" s="14">
        <f t="shared" si="54"/>
        <v>41.362781478677604</v>
      </c>
      <c r="AQ46" s="14">
        <f t="shared" si="55"/>
        <v>7.9812676544369685</v>
      </c>
      <c r="AR46" s="14">
        <f t="shared" si="56"/>
        <v>37.888931047543956</v>
      </c>
      <c r="AS46" s="14">
        <f t="shared" si="57"/>
        <v>39.205985913309661</v>
      </c>
      <c r="AT46" s="14">
        <f t="shared" si="58"/>
        <v>46.195072169370839</v>
      </c>
      <c r="AU46" s="14">
        <f t="shared" si="78"/>
        <v>52.364889567261301</v>
      </c>
      <c r="AV46" s="14">
        <f t="shared" si="79"/>
        <v>9.225022962283381</v>
      </c>
      <c r="AW46" s="14">
        <f t="shared" si="59"/>
        <v>32.450436913192597</v>
      </c>
      <c r="AX46" s="14">
        <f t="shared" si="80"/>
        <v>-0.1975625</v>
      </c>
      <c r="AY46" s="14">
        <f t="shared" si="60"/>
        <v>52.364889567261301</v>
      </c>
      <c r="AZ46" s="14">
        <f t="shared" si="81"/>
        <v>-9.8781250000000001E-2</v>
      </c>
      <c r="BA46" s="14">
        <f t="shared" si="82"/>
        <v>23.324195200909212</v>
      </c>
      <c r="BB46" s="14">
        <f t="shared" si="61"/>
        <v>84.716545230453903</v>
      </c>
      <c r="BC46" s="14">
        <f t="shared" si="83"/>
        <v>263.09486096414253</v>
      </c>
      <c r="BD46" s="14">
        <f t="shared" si="84"/>
        <v>84.747857142857143</v>
      </c>
      <c r="BE46" s="14">
        <f t="shared" si="85"/>
        <v>27.361284722222219</v>
      </c>
      <c r="BF46" s="14">
        <f t="shared" si="86"/>
        <v>0</v>
      </c>
      <c r="BG46" s="14">
        <f t="shared" si="62"/>
        <v>375.20400282922185</v>
      </c>
      <c r="BH46" s="14" t="str">
        <f t="shared" si="87"/>
        <v/>
      </c>
      <c r="BI46" s="14">
        <f t="shared" si="88"/>
        <v>1</v>
      </c>
      <c r="BJ46" s="14">
        <f t="shared" si="63"/>
        <v>375.20400282922185</v>
      </c>
      <c r="BK46" s="14">
        <f t="shared" si="33"/>
        <v>1350.7344101851986</v>
      </c>
      <c r="BL46" s="14">
        <f t="shared" si="89"/>
        <v>37.624913932735339</v>
      </c>
      <c r="BM46" s="14" t="str">
        <f t="shared" si="90"/>
        <v/>
      </c>
      <c r="BN46" s="14">
        <f t="shared" si="64"/>
        <v>2.4429246709776518</v>
      </c>
      <c r="BO46" s="14">
        <f t="shared" si="65"/>
        <v>0.40934540957409171</v>
      </c>
      <c r="BP46" s="14">
        <f t="shared" si="66"/>
        <v>4.0820833899194149</v>
      </c>
      <c r="BQ46" s="22">
        <f t="shared" si="67"/>
        <v>0.22578795692916301</v>
      </c>
      <c r="BR46" s="14">
        <f t="shared" si="91"/>
        <v>3461.4920818116511</v>
      </c>
      <c r="BS46" s="14">
        <f t="shared" si="92"/>
        <v>100.83476933973071</v>
      </c>
      <c r="BT46" s="14">
        <f t="shared" si="68"/>
        <v>22.537511170690756</v>
      </c>
      <c r="BU46" s="14">
        <f t="shared" si="69"/>
        <v>0.65652749932012211</v>
      </c>
      <c r="BV46" s="22" t="str">
        <f t="shared" si="70"/>
        <v/>
      </c>
      <c r="BW46" s="14" t="e">
        <f t="shared" si="71"/>
        <v>#N/A</v>
      </c>
      <c r="BX46" s="14" t="e">
        <f t="shared" si="72"/>
        <v>#N/A</v>
      </c>
    </row>
    <row r="47" spans="1:76" x14ac:dyDescent="0.25">
      <c r="A47" s="12" t="s">
        <v>498</v>
      </c>
      <c r="B47" s="12" t="s">
        <v>173</v>
      </c>
      <c r="C47" s="15">
        <v>46290</v>
      </c>
      <c r="D47" s="12" t="s">
        <v>300</v>
      </c>
      <c r="E47" s="12" t="s">
        <v>29</v>
      </c>
      <c r="F47" s="12" t="s">
        <v>41</v>
      </c>
      <c r="G47" s="16">
        <v>0.59304398148148152</v>
      </c>
      <c r="H47" s="14">
        <v>0</v>
      </c>
      <c r="I47" s="14">
        <v>30.466666666666669</v>
      </c>
      <c r="J47" s="14">
        <v>18.984083333333331</v>
      </c>
      <c r="K47" s="14">
        <v>2.2999999999999998</v>
      </c>
      <c r="L47" s="14">
        <v>58.605016666666657</v>
      </c>
      <c r="M47" s="14">
        <v>41.15</v>
      </c>
      <c r="N47" s="14">
        <v>69.61666666666666</v>
      </c>
      <c r="O47" s="14">
        <v>0</v>
      </c>
      <c r="P47" s="14">
        <v>0.48442489010916312</v>
      </c>
      <c r="Q47" s="14">
        <v>0.3753728936893338</v>
      </c>
      <c r="R47" s="14">
        <v>0.18567692695020599</v>
      </c>
      <c r="S47" s="14">
        <v>43.705091986944623</v>
      </c>
      <c r="T47" s="14">
        <v>31.31100557837641</v>
      </c>
      <c r="U47" s="14">
        <v>65.770164610094071</v>
      </c>
      <c r="V47" s="18"/>
      <c r="W47" s="18"/>
      <c r="X47" s="18"/>
      <c r="Y47" s="18"/>
      <c r="Z47" s="18"/>
      <c r="AA47" s="14" t="str">
        <f>IF(AND(D47&lt;&gt;"EV",D47&lt;&gt;"Diesel"),"Invalid vehicle",IF(COUNTIFS(Routes[Corridor],E47,Routes[Direction],F47)=0,"Unknown route",IF(C47="","Missing date",IF(SUM(O47:U47)&lt;=0,"No distance","OK"))))</f>
        <v>OK</v>
      </c>
      <c r="AB47" s="17">
        <f t="shared" si="47"/>
        <v>46266</v>
      </c>
      <c r="AC47" s="14">
        <f>--(COUNTIFS($C$5:C47,C47,$D$5:D47,D47,$G$5:G47,G47,$F$5:F47,F47)=1)</f>
        <v>1</v>
      </c>
      <c r="AD47" s="14">
        <f t="shared" si="73"/>
        <v>0</v>
      </c>
      <c r="AE47" s="14">
        <f t="shared" si="74"/>
        <v>1</v>
      </c>
      <c r="AF47" s="14">
        <f t="shared" si="48"/>
        <v>0</v>
      </c>
      <c r="AG47" s="14">
        <f>SUMIFS(Routes[Net elevation (m)],Routes[Corridor],E47,Routes[Direction],F47)</f>
        <v>-5</v>
      </c>
      <c r="AH47" s="14">
        <f t="shared" si="75"/>
        <v>16500</v>
      </c>
      <c r="AI47" s="14">
        <f t="shared" si="76"/>
        <v>0.25</v>
      </c>
      <c r="AJ47" s="14">
        <f t="shared" si="77"/>
        <v>8.1</v>
      </c>
      <c r="AK47" s="14">
        <f t="shared" si="49"/>
        <v>141.83173688616381</v>
      </c>
      <c r="AL47" s="14">
        <f t="shared" si="50"/>
        <v>3.6853738888888889</v>
      </c>
      <c r="AM47" s="14">
        <f t="shared" si="51"/>
        <v>3.6853738888888889</v>
      </c>
      <c r="AN47" s="14">
        <f t="shared" si="52"/>
        <v>0.82417916666666668</v>
      </c>
      <c r="AO47" s="14">
        <f t="shared" si="53"/>
        <v>2.8611947222222218</v>
      </c>
      <c r="AP47" s="14">
        <f t="shared" si="54"/>
        <v>49.270305864703872</v>
      </c>
      <c r="AQ47" s="14">
        <f t="shared" si="55"/>
        <v>4.8437459204401563</v>
      </c>
      <c r="AR47" s="14">
        <f t="shared" si="56"/>
        <v>44.745410348261053</v>
      </c>
      <c r="AS47" s="14">
        <f t="shared" si="57"/>
        <v>45.65395710091336</v>
      </c>
      <c r="AT47" s="14">
        <f t="shared" si="58"/>
        <v>56.684843810471307</v>
      </c>
      <c r="AU47" s="14">
        <f t="shared" si="78"/>
        <v>54.927342664529753</v>
      </c>
      <c r="AV47" s="14">
        <f t="shared" si="79"/>
        <v>14.253460212602233</v>
      </c>
      <c r="AW47" s="14">
        <f t="shared" si="59"/>
        <v>50.078751235040713</v>
      </c>
      <c r="AX47" s="14">
        <f t="shared" si="80"/>
        <v>-0.2248125</v>
      </c>
      <c r="AY47" s="14">
        <f t="shared" si="60"/>
        <v>54.927342664529753</v>
      </c>
      <c r="AZ47" s="14">
        <f t="shared" si="81"/>
        <v>-0.11240625</v>
      </c>
      <c r="BA47" s="14">
        <f t="shared" si="82"/>
        <v>35.937697272438477</v>
      </c>
      <c r="BB47" s="14">
        <f t="shared" si="61"/>
        <v>104.89368764957045</v>
      </c>
      <c r="BC47" s="14">
        <f t="shared" si="83"/>
        <v>126.47698516859042</v>
      </c>
      <c r="BD47" s="14">
        <f t="shared" si="84"/>
        <v>29.851528500000001</v>
      </c>
      <c r="BE47" s="14">
        <f t="shared" si="85"/>
        <v>0</v>
      </c>
      <c r="BF47" s="14">
        <f t="shared" si="86"/>
        <v>17.882957539738108</v>
      </c>
      <c r="BG47" s="14">
        <f t="shared" si="62"/>
        <v>138.4455561288523</v>
      </c>
      <c r="BH47" s="14" t="str">
        <f t="shared" si="87"/>
        <v/>
      </c>
      <c r="BI47" s="14">
        <f t="shared" si="88"/>
        <v>1</v>
      </c>
      <c r="BJ47" s="14">
        <f t="shared" si="63"/>
        <v>138.4455561288523</v>
      </c>
      <c r="BK47" s="14">
        <f t="shared" si="33"/>
        <v>498.40400206386829</v>
      </c>
      <c r="BL47" s="14" t="str">
        <f t="shared" si="89"/>
        <v/>
      </c>
      <c r="BM47" s="14">
        <f t="shared" si="90"/>
        <v>150.48430014005683</v>
      </c>
      <c r="BN47" s="14">
        <f t="shared" si="64"/>
        <v>0.9761253663555618</v>
      </c>
      <c r="BO47" s="14">
        <f t="shared" si="65"/>
        <v>1.0244585731170741</v>
      </c>
      <c r="BP47" s="14" t="str">
        <f t="shared" si="66"/>
        <v/>
      </c>
      <c r="BQ47" s="22">
        <f t="shared" si="67"/>
        <v>0.7576529762497044</v>
      </c>
      <c r="BR47" s="14">
        <f t="shared" si="91"/>
        <v>1429.6008513305399</v>
      </c>
      <c r="BS47" s="14">
        <f t="shared" si="92"/>
        <v>106.84385309944034</v>
      </c>
      <c r="BT47" s="14">
        <f t="shared" si="68"/>
        <v>10.07955541345417</v>
      </c>
      <c r="BU47" s="14">
        <f t="shared" si="69"/>
        <v>0.75331414142657471</v>
      </c>
      <c r="BV47" s="22" t="str">
        <f t="shared" si="70"/>
        <v/>
      </c>
      <c r="BW47" s="14" t="e">
        <f t="shared" si="71"/>
        <v>#N/A</v>
      </c>
      <c r="BX47" s="14" t="e">
        <f t="shared" si="72"/>
        <v>#N/A</v>
      </c>
    </row>
    <row r="48" spans="1:76" x14ac:dyDescent="0.25">
      <c r="A48" s="12" t="s">
        <v>499</v>
      </c>
      <c r="B48" s="12" t="s">
        <v>173</v>
      </c>
      <c r="C48" s="15">
        <v>46220</v>
      </c>
      <c r="D48" s="12" t="s">
        <v>457</v>
      </c>
      <c r="E48" s="12" t="s">
        <v>29</v>
      </c>
      <c r="F48" s="12" t="s">
        <v>41</v>
      </c>
      <c r="G48" s="16">
        <v>0.48878472222222225</v>
      </c>
      <c r="H48" s="14">
        <v>0</v>
      </c>
      <c r="I48" s="14">
        <v>31.8</v>
      </c>
      <c r="J48" s="14">
        <v>0</v>
      </c>
      <c r="K48" s="14">
        <v>1.5</v>
      </c>
      <c r="L48" s="14">
        <v>30.466666666666669</v>
      </c>
      <c r="M48" s="14">
        <v>23</v>
      </c>
      <c r="N48" s="14">
        <v>134.3833333333333</v>
      </c>
      <c r="O48" s="14">
        <v>0</v>
      </c>
      <c r="P48" s="14">
        <v>0.22156090055420241</v>
      </c>
      <c r="Q48" s="14">
        <v>0</v>
      </c>
      <c r="R48" s="14">
        <v>0.11647473715777031</v>
      </c>
      <c r="S48" s="14">
        <v>21.5665214603954</v>
      </c>
      <c r="T48" s="14">
        <v>17.030681899116161</v>
      </c>
      <c r="U48" s="14">
        <v>102.738159054381</v>
      </c>
      <c r="V48" s="18"/>
      <c r="W48" s="18"/>
      <c r="X48" s="18"/>
      <c r="Y48" s="18"/>
      <c r="Z48" s="18"/>
      <c r="AA48" s="14" t="str">
        <f>IF(AND(D48&lt;&gt;"EV",D48&lt;&gt;"Diesel"),"Invalid vehicle",IF(COUNTIFS(Routes[Corridor],E48,Routes[Direction],F48)=0,"Unknown route",IF(C48="","Missing date",IF(SUM(O48:U48)&lt;=0,"No distance","OK"))))</f>
        <v>OK</v>
      </c>
      <c r="AB48" s="17">
        <f t="shared" si="47"/>
        <v>46204</v>
      </c>
      <c r="AC48" s="14">
        <f>--(COUNTIFS($C$5:C48,C48,$D$5:D48,D48,$G$5:G48,G48,$F$5:F48,F48)=1)</f>
        <v>0</v>
      </c>
      <c r="AD48" s="14">
        <f t="shared" si="73"/>
        <v>0</v>
      </c>
      <c r="AE48" s="14">
        <f t="shared" si="74"/>
        <v>1</v>
      </c>
      <c r="AF48" s="14">
        <f t="shared" si="48"/>
        <v>0</v>
      </c>
      <c r="AG48" s="14">
        <f>SUMIFS(Routes[Net elevation (m)],Routes[Corridor],E48,Routes[Direction],F48)</f>
        <v>-5</v>
      </c>
      <c r="AH48" s="14">
        <f t="shared" si="75"/>
        <v>14500</v>
      </c>
      <c r="AI48" s="14">
        <f t="shared" si="76"/>
        <v>0.25</v>
      </c>
      <c r="AJ48" s="14">
        <f t="shared" si="77"/>
        <v>8.1</v>
      </c>
      <c r="AK48" s="14">
        <f t="shared" si="49"/>
        <v>141.67339805160452</v>
      </c>
      <c r="AL48" s="14">
        <f t="shared" si="50"/>
        <v>3.6858333333333331</v>
      </c>
      <c r="AM48" s="14">
        <f t="shared" si="51"/>
        <v>3.6858333333333331</v>
      </c>
      <c r="AN48" s="14">
        <f t="shared" si="52"/>
        <v>0.53</v>
      </c>
      <c r="AO48" s="14">
        <f t="shared" si="53"/>
        <v>3.1558333333333328</v>
      </c>
      <c r="AP48" s="14">
        <f t="shared" si="54"/>
        <v>44.822340792516613</v>
      </c>
      <c r="AQ48" s="14">
        <f t="shared" si="55"/>
        <v>4.6589894863108121</v>
      </c>
      <c r="AR48" s="14">
        <f t="shared" si="56"/>
        <v>42.472361738196632</v>
      </c>
      <c r="AS48" s="14">
        <f t="shared" si="57"/>
        <v>44.427865823781282</v>
      </c>
      <c r="AT48" s="14">
        <f t="shared" si="58"/>
        <v>45.87093793820808</v>
      </c>
      <c r="AU48" s="14">
        <f t="shared" si="78"/>
        <v>51.667624299685727</v>
      </c>
      <c r="AV48" s="14">
        <f t="shared" si="79"/>
        <v>6.9762376599520133</v>
      </c>
      <c r="AW48" s="14">
        <f t="shared" si="59"/>
        <v>21.716288970537033</v>
      </c>
      <c r="AX48" s="14">
        <f t="shared" si="80"/>
        <v>-0.1975625</v>
      </c>
      <c r="AY48" s="14">
        <f t="shared" si="60"/>
        <v>51.667624299685727</v>
      </c>
      <c r="AZ48" s="14">
        <f t="shared" si="81"/>
        <v>-9.8781250000000001E-2</v>
      </c>
      <c r="BA48" s="14">
        <f t="shared" si="82"/>
        <v>14.83883256058502</v>
      </c>
      <c r="BB48" s="14">
        <f t="shared" si="61"/>
        <v>73.285132020222761</v>
      </c>
      <c r="BC48" s="14">
        <f t="shared" si="83"/>
        <v>227.59357770255517</v>
      </c>
      <c r="BD48" s="14">
        <f t="shared" si="84"/>
        <v>73.034999999999997</v>
      </c>
      <c r="BE48" s="14">
        <f t="shared" si="85"/>
        <v>13.213194444444445</v>
      </c>
      <c r="BF48" s="14">
        <f t="shared" si="86"/>
        <v>0</v>
      </c>
      <c r="BG48" s="14">
        <f t="shared" si="62"/>
        <v>313.84177214699963</v>
      </c>
      <c r="BH48" s="14" t="str">
        <f t="shared" si="87"/>
        <v/>
      </c>
      <c r="BI48" s="14">
        <f t="shared" si="88"/>
        <v>1</v>
      </c>
      <c r="BJ48" s="14">
        <f t="shared" si="63"/>
        <v>313.84177214699963</v>
      </c>
      <c r="BK48" s="14">
        <f t="shared" si="33"/>
        <v>1129.8303797291987</v>
      </c>
      <c r="BL48" s="14">
        <f t="shared" si="89"/>
        <v>31.471598321147599</v>
      </c>
      <c r="BM48" s="14" t="str">
        <f t="shared" si="90"/>
        <v/>
      </c>
      <c r="BN48" s="14">
        <f t="shared" si="64"/>
        <v>2.2152484267560433</v>
      </c>
      <c r="BO48" s="14">
        <f t="shared" si="65"/>
        <v>0.45141663929059911</v>
      </c>
      <c r="BP48" s="14">
        <f t="shared" si="66"/>
        <v>4.5016270418145847</v>
      </c>
      <c r="BQ48" s="22">
        <f t="shared" si="67"/>
        <v>0.23350980820327802</v>
      </c>
      <c r="BR48" s="14">
        <f t="shared" si="91"/>
        <v>2895.387045545579</v>
      </c>
      <c r="BS48" s="14">
        <f t="shared" si="92"/>
        <v>84.343883500675574</v>
      </c>
      <c r="BT48" s="14">
        <f t="shared" si="68"/>
        <v>20.437055123721496</v>
      </c>
      <c r="BU48" s="14">
        <f t="shared" si="69"/>
        <v>0.59534030143014793</v>
      </c>
      <c r="BV48" s="22" t="str">
        <f t="shared" si="70"/>
        <v/>
      </c>
      <c r="BW48" s="14" t="e">
        <f t="shared" si="71"/>
        <v>#N/A</v>
      </c>
      <c r="BX48" s="14" t="e">
        <f t="shared" si="72"/>
        <v>#N/A</v>
      </c>
    </row>
    <row r="49" spans="1:76" x14ac:dyDescent="0.25">
      <c r="A49" s="12" t="s">
        <v>500</v>
      </c>
      <c r="B49" s="12" t="s">
        <v>176</v>
      </c>
      <c r="C49" s="15">
        <v>46221</v>
      </c>
      <c r="D49" s="12" t="s">
        <v>300</v>
      </c>
      <c r="E49" s="12" t="s">
        <v>29</v>
      </c>
      <c r="F49" s="12" t="s">
        <v>52</v>
      </c>
      <c r="G49" s="16">
        <v>0.59349537037037037</v>
      </c>
      <c r="H49" s="14">
        <v>0</v>
      </c>
      <c r="I49" s="14">
        <v>24.65</v>
      </c>
      <c r="J49" s="14">
        <v>10.13448333333333</v>
      </c>
      <c r="K49" s="14">
        <v>2.1</v>
      </c>
      <c r="L49" s="14">
        <v>53.916666666666657</v>
      </c>
      <c r="M49" s="14">
        <v>40.75</v>
      </c>
      <c r="N49" s="14">
        <v>91.5</v>
      </c>
      <c r="O49" s="14">
        <v>0</v>
      </c>
      <c r="P49" s="14">
        <v>0.34290254186703961</v>
      </c>
      <c r="Q49" s="14">
        <v>1.0454776733830049</v>
      </c>
      <c r="R49" s="14">
        <v>0.40432001006129498</v>
      </c>
      <c r="S49" s="14">
        <v>41.471081570571563</v>
      </c>
      <c r="T49" s="14">
        <v>30.614880435193118</v>
      </c>
      <c r="U49" s="14">
        <v>63.969189047693213</v>
      </c>
      <c r="V49" s="18"/>
      <c r="W49" s="18"/>
      <c r="X49" s="18"/>
      <c r="Y49" s="18"/>
      <c r="Z49" s="18"/>
      <c r="AA49" s="14" t="str">
        <f>IF(AND(D49&lt;&gt;"EV",D49&lt;&gt;"Diesel"),"Invalid vehicle",IF(COUNTIFS(Routes[Corridor],E49,Routes[Direction],F49)=0,"Unknown route",IF(C49="","Missing date",IF(SUM(O49:U49)&lt;=0,"No distance","OK"))))</f>
        <v>OK</v>
      </c>
      <c r="AB49" s="17">
        <f t="shared" si="47"/>
        <v>46204</v>
      </c>
      <c r="AC49" s="14">
        <f>--(COUNTIFS($C$5:C49,C49,$D$5:D49,D49,$G$5:G49,G49,$F$5:F49,F49)=1)</f>
        <v>0</v>
      </c>
      <c r="AD49" s="14">
        <f t="shared" si="73"/>
        <v>0</v>
      </c>
      <c r="AE49" s="14">
        <f t="shared" si="74"/>
        <v>1</v>
      </c>
      <c r="AF49" s="14">
        <f t="shared" si="48"/>
        <v>0</v>
      </c>
      <c r="AG49" s="14">
        <f>SUMIFS(Routes[Net elevation (m)],Routes[Corridor],E49,Routes[Direction],F49)</f>
        <v>5</v>
      </c>
      <c r="AH49" s="14">
        <f t="shared" si="75"/>
        <v>16500</v>
      </c>
      <c r="AI49" s="14">
        <f t="shared" si="76"/>
        <v>0.25</v>
      </c>
      <c r="AJ49" s="14">
        <f t="shared" si="77"/>
        <v>8.1</v>
      </c>
      <c r="AK49" s="14">
        <f t="shared" si="49"/>
        <v>137.84785127876924</v>
      </c>
      <c r="AL49" s="14">
        <f t="shared" si="50"/>
        <v>3.7175191666666665</v>
      </c>
      <c r="AM49" s="14">
        <f t="shared" si="51"/>
        <v>3.7175191666666665</v>
      </c>
      <c r="AN49" s="14">
        <f t="shared" si="52"/>
        <v>0.57974138888888882</v>
      </c>
      <c r="AO49" s="14">
        <f t="shared" si="53"/>
        <v>3.1377777777777776</v>
      </c>
      <c r="AP49" s="14">
        <f t="shared" si="54"/>
        <v>43.489208200130058</v>
      </c>
      <c r="AQ49" s="14">
        <f t="shared" si="55"/>
        <v>11.552000287465569</v>
      </c>
      <c r="AR49" s="14">
        <f t="shared" si="56"/>
        <v>46.150198965705613</v>
      </c>
      <c r="AS49" s="14">
        <f t="shared" si="57"/>
        <v>45.077124567155508</v>
      </c>
      <c r="AT49" s="14">
        <f t="shared" si="58"/>
        <v>41.947009211602108</v>
      </c>
      <c r="AU49" s="14">
        <f t="shared" si="78"/>
        <v>47.293816776849042</v>
      </c>
      <c r="AV49" s="14">
        <f t="shared" si="79"/>
        <v>13.828572086872763</v>
      </c>
      <c r="AW49" s="14">
        <f t="shared" si="59"/>
        <v>47.518947632946585</v>
      </c>
      <c r="AX49" s="14">
        <f t="shared" si="80"/>
        <v>0.2248125</v>
      </c>
      <c r="AY49" s="14">
        <f t="shared" si="60"/>
        <v>47.293816776849042</v>
      </c>
      <c r="AZ49" s="14">
        <f t="shared" si="81"/>
        <v>0.2248125</v>
      </c>
      <c r="BA49" s="14">
        <f t="shared" si="82"/>
        <v>33.690375546073824</v>
      </c>
      <c r="BB49" s="14">
        <f t="shared" si="61"/>
        <v>95.037576909795618</v>
      </c>
      <c r="BC49" s="14">
        <f t="shared" si="83"/>
        <v>114.59284609609408</v>
      </c>
      <c r="BD49" s="14">
        <f t="shared" si="84"/>
        <v>30.111905249999996</v>
      </c>
      <c r="BE49" s="14">
        <f t="shared" si="85"/>
        <v>0</v>
      </c>
      <c r="BF49" s="14">
        <f t="shared" si="86"/>
        <v>16.764667775481794</v>
      </c>
      <c r="BG49" s="14">
        <f t="shared" si="62"/>
        <v>127.94008357061227</v>
      </c>
      <c r="BH49" s="14" t="str">
        <f t="shared" si="87"/>
        <v/>
      </c>
      <c r="BI49" s="14">
        <f t="shared" si="88"/>
        <v>1</v>
      </c>
      <c r="BJ49" s="14">
        <f t="shared" si="63"/>
        <v>127.94008357061227</v>
      </c>
      <c r="BK49" s="14">
        <f t="shared" si="33"/>
        <v>460.58430085420417</v>
      </c>
      <c r="BL49" s="14" t="str">
        <f t="shared" si="89"/>
        <v/>
      </c>
      <c r="BM49" s="14">
        <f t="shared" si="90"/>
        <v>139.06530822892637</v>
      </c>
      <c r="BN49" s="14">
        <f t="shared" si="64"/>
        <v>0.92812533807204201</v>
      </c>
      <c r="BO49" s="14">
        <f t="shared" si="65"/>
        <v>1.0774406849803932</v>
      </c>
      <c r="BP49" s="14" t="str">
        <f t="shared" si="66"/>
        <v/>
      </c>
      <c r="BQ49" s="22">
        <f t="shared" si="67"/>
        <v>0.74282878561153032</v>
      </c>
      <c r="BR49" s="14">
        <f t="shared" si="91"/>
        <v>1321.1204281748005</v>
      </c>
      <c r="BS49" s="14">
        <f t="shared" si="92"/>
        <v>98.736368842537715</v>
      </c>
      <c r="BT49" s="14">
        <f t="shared" si="68"/>
        <v>9.5839029474830415</v>
      </c>
      <c r="BU49" s="14">
        <f t="shared" si="69"/>
        <v>0.71627064133820617</v>
      </c>
      <c r="BV49" s="22" t="str">
        <f t="shared" si="70"/>
        <v/>
      </c>
      <c r="BW49" s="14" t="e">
        <f t="shared" si="71"/>
        <v>#N/A</v>
      </c>
      <c r="BX49" s="14" t="e">
        <f t="shared" si="72"/>
        <v>#N/A</v>
      </c>
    </row>
    <row r="50" spans="1:76" x14ac:dyDescent="0.25">
      <c r="A50" s="12" t="s">
        <v>501</v>
      </c>
      <c r="B50" s="12" t="s">
        <v>176</v>
      </c>
      <c r="C50" s="15">
        <v>46221</v>
      </c>
      <c r="D50" s="12" t="s">
        <v>457</v>
      </c>
      <c r="E50" s="12" t="s">
        <v>29</v>
      </c>
      <c r="F50" s="12" t="s">
        <v>52</v>
      </c>
      <c r="G50" s="16">
        <v>0.68094907407407412</v>
      </c>
      <c r="H50" s="14">
        <v>0</v>
      </c>
      <c r="I50" s="14">
        <v>23.716666666666669</v>
      </c>
      <c r="J50" s="14">
        <v>4.4333333333333336</v>
      </c>
      <c r="K50" s="14">
        <v>9.5500000000000007</v>
      </c>
      <c r="L50" s="14">
        <v>50.65</v>
      </c>
      <c r="M50" s="14">
        <v>34.233333333333327</v>
      </c>
      <c r="N50" s="14">
        <v>109.3</v>
      </c>
      <c r="O50" s="14">
        <v>0</v>
      </c>
      <c r="P50" s="14">
        <v>0.11699904226004509</v>
      </c>
      <c r="Q50" s="14">
        <v>0.98289890323061291</v>
      </c>
      <c r="R50" s="14">
        <v>0.76496157447860036</v>
      </c>
      <c r="S50" s="14">
        <v>36.712209444916184</v>
      </c>
      <c r="T50" s="14">
        <v>25.040527354235781</v>
      </c>
      <c r="U50" s="14">
        <v>74.293641117732662</v>
      </c>
      <c r="V50" s="18"/>
      <c r="W50" s="18"/>
      <c r="X50" s="18"/>
      <c r="Y50" s="18"/>
      <c r="Z50" s="18"/>
      <c r="AA50" s="14" t="str">
        <f>IF(AND(D50&lt;&gt;"EV",D50&lt;&gt;"Diesel"),"Invalid vehicle",IF(COUNTIFS(Routes[Corridor],E50,Routes[Direction],F50)=0,"Unknown route",IF(C50="","Missing date",IF(SUM(O50:U50)&lt;=0,"No distance","OK"))))</f>
        <v>OK</v>
      </c>
      <c r="AB50" s="17">
        <f t="shared" si="47"/>
        <v>46204</v>
      </c>
      <c r="AC50" s="14">
        <f>--(COUNTIFS($C$5:C50,C50,$D$5:D50,D50,$G$5:G50,G50,$F$5:F50,F50)=1)</f>
        <v>0</v>
      </c>
      <c r="AD50" s="14">
        <f t="shared" si="73"/>
        <v>0</v>
      </c>
      <c r="AE50" s="14">
        <f t="shared" si="74"/>
        <v>1</v>
      </c>
      <c r="AF50" s="14">
        <f t="shared" si="48"/>
        <v>0</v>
      </c>
      <c r="AG50" s="14">
        <f>SUMIFS(Routes[Net elevation (m)],Routes[Corridor],E50,Routes[Direction],F50)</f>
        <v>5</v>
      </c>
      <c r="AH50" s="14">
        <f t="shared" si="75"/>
        <v>14500</v>
      </c>
      <c r="AI50" s="14">
        <f t="shared" si="76"/>
        <v>0.25</v>
      </c>
      <c r="AJ50" s="14">
        <f t="shared" si="77"/>
        <v>8.1</v>
      </c>
      <c r="AK50" s="14">
        <f t="shared" si="49"/>
        <v>137.91123743685387</v>
      </c>
      <c r="AL50" s="14">
        <f t="shared" si="50"/>
        <v>3.8647222222222219</v>
      </c>
      <c r="AM50" s="14">
        <f t="shared" si="51"/>
        <v>3.8647222222222219</v>
      </c>
      <c r="AN50" s="14">
        <f t="shared" si="52"/>
        <v>0.46916666666666668</v>
      </c>
      <c r="AO50" s="14">
        <f t="shared" si="53"/>
        <v>3.3955555555555557</v>
      </c>
      <c r="AP50" s="14">
        <f t="shared" si="54"/>
        <v>40.29129762507425</v>
      </c>
      <c r="AQ50" s="14">
        <f t="shared" si="55"/>
        <v>4.8060413056247135</v>
      </c>
      <c r="AR50" s="14">
        <f t="shared" si="56"/>
        <v>43.489290556662809</v>
      </c>
      <c r="AS50" s="14">
        <f t="shared" si="57"/>
        <v>43.887973941211698</v>
      </c>
      <c r="AT50" s="14">
        <f t="shared" si="58"/>
        <v>40.783334556852331</v>
      </c>
      <c r="AU50" s="14">
        <f t="shared" si="78"/>
        <v>44.228752189120243</v>
      </c>
      <c r="AV50" s="14">
        <f t="shared" si="79"/>
        <v>10.176816647892545</v>
      </c>
      <c r="AW50" s="14">
        <f t="shared" si="59"/>
        <v>36.96715534383921</v>
      </c>
      <c r="AX50" s="14">
        <f t="shared" si="80"/>
        <v>0.1975625</v>
      </c>
      <c r="AY50" s="14">
        <f t="shared" si="60"/>
        <v>44.228752189120243</v>
      </c>
      <c r="AZ50" s="14">
        <f t="shared" si="81"/>
        <v>0.1975625</v>
      </c>
      <c r="BA50" s="14">
        <f t="shared" si="82"/>
        <v>26.790338695946666</v>
      </c>
      <c r="BB50" s="14">
        <f t="shared" si="61"/>
        <v>81.393470032959456</v>
      </c>
      <c r="BC50" s="14">
        <f t="shared" si="83"/>
        <v>252.77475165515358</v>
      </c>
      <c r="BD50" s="14">
        <f t="shared" si="84"/>
        <v>78.582857142857151</v>
      </c>
      <c r="BE50" s="14">
        <f t="shared" si="85"/>
        <v>11.696585648148147</v>
      </c>
      <c r="BF50" s="14">
        <f t="shared" si="86"/>
        <v>0</v>
      </c>
      <c r="BG50" s="14">
        <f t="shared" si="62"/>
        <v>343.05419444615887</v>
      </c>
      <c r="BH50" s="14" t="str">
        <f t="shared" si="87"/>
        <v/>
      </c>
      <c r="BI50" s="14">
        <f t="shared" si="88"/>
        <v>1</v>
      </c>
      <c r="BJ50" s="14">
        <f t="shared" si="63"/>
        <v>343.05419444615887</v>
      </c>
      <c r="BK50" s="14">
        <f t="shared" si="33"/>
        <v>1234.9951000061719</v>
      </c>
      <c r="BL50" s="14">
        <f t="shared" si="89"/>
        <v>34.400977716049361</v>
      </c>
      <c r="BM50" s="14" t="str">
        <f t="shared" si="90"/>
        <v/>
      </c>
      <c r="BN50" s="14">
        <f t="shared" si="64"/>
        <v>2.4874999370753588</v>
      </c>
      <c r="BO50" s="14">
        <f t="shared" si="65"/>
        <v>0.40201006042063869</v>
      </c>
      <c r="BP50" s="14">
        <f t="shared" si="66"/>
        <v>4.008933658083591</v>
      </c>
      <c r="BQ50" s="22">
        <f t="shared" si="67"/>
        <v>0.23726125886425758</v>
      </c>
      <c r="BR50" s="14">
        <f t="shared" si="91"/>
        <v>3164.8899498765413</v>
      </c>
      <c r="BS50" s="14">
        <f t="shared" si="92"/>
        <v>92.194620279012298</v>
      </c>
      <c r="BT50" s="14">
        <f t="shared" si="68"/>
        <v>22.948745937586601</v>
      </c>
      <c r="BU50" s="14">
        <f t="shared" si="69"/>
        <v>0.66850694687752277</v>
      </c>
      <c r="BV50" s="22" t="str">
        <f t="shared" si="70"/>
        <v/>
      </c>
      <c r="BW50" s="14" t="e">
        <f t="shared" si="71"/>
        <v>#N/A</v>
      </c>
      <c r="BX50" s="14" t="e">
        <f t="shared" si="72"/>
        <v>#N/A</v>
      </c>
    </row>
    <row r="51" spans="1:76" x14ac:dyDescent="0.25">
      <c r="A51" s="12" t="s">
        <v>502</v>
      </c>
      <c r="B51" s="12" t="s">
        <v>178</v>
      </c>
      <c r="C51" s="15">
        <v>46221</v>
      </c>
      <c r="D51" s="12" t="s">
        <v>300</v>
      </c>
      <c r="E51" s="12" t="s">
        <v>29</v>
      </c>
      <c r="F51" s="12" t="s">
        <v>52</v>
      </c>
      <c r="G51" s="16">
        <v>0.62445601851851851</v>
      </c>
      <c r="H51" s="14">
        <v>0</v>
      </c>
      <c r="I51" s="14">
        <v>26.583333333333329</v>
      </c>
      <c r="J51" s="14">
        <v>1.261883333333333</v>
      </c>
      <c r="K51" s="14">
        <v>5.35</v>
      </c>
      <c r="L51" s="14">
        <v>50.083333333333343</v>
      </c>
      <c r="M51" s="14">
        <v>38.023983333333327</v>
      </c>
      <c r="N51" s="14">
        <v>85.833333333333329</v>
      </c>
      <c r="O51" s="14">
        <v>0</v>
      </c>
      <c r="P51" s="14">
        <v>0.43287959154678851</v>
      </c>
      <c r="Q51" s="14">
        <v>0.5147545761381157</v>
      </c>
      <c r="R51" s="14">
        <v>0.73819242016004771</v>
      </c>
      <c r="S51" s="14">
        <v>38.040822350023817</v>
      </c>
      <c r="T51" s="14">
        <v>28.349735048175351</v>
      </c>
      <c r="U51" s="14">
        <v>56.945127768261933</v>
      </c>
      <c r="V51" s="18"/>
      <c r="W51" s="18"/>
      <c r="X51" s="18"/>
      <c r="Y51" s="18"/>
      <c r="Z51" s="18"/>
      <c r="AA51" s="14" t="str">
        <f>IF(AND(D51&lt;&gt;"EV",D51&lt;&gt;"Diesel"),"Invalid vehicle",IF(COUNTIFS(Routes[Corridor],E51,Routes[Direction],F51)=0,"Unknown route",IF(C51="","Missing date",IF(SUM(O51:U51)&lt;=0,"No distance","OK"))))</f>
        <v>OK</v>
      </c>
      <c r="AB51" s="17">
        <f t="shared" si="47"/>
        <v>46204</v>
      </c>
      <c r="AC51" s="14">
        <f>--(COUNTIFS($C$5:C51,C51,$D$5:D51,D51,$G$5:G51,G51,$F$5:F51,F51)=1)</f>
        <v>1</v>
      </c>
      <c r="AD51" s="14">
        <f t="shared" si="73"/>
        <v>0</v>
      </c>
      <c r="AE51" s="14">
        <f t="shared" si="74"/>
        <v>1</v>
      </c>
      <c r="AF51" s="14">
        <f t="shared" si="48"/>
        <v>0</v>
      </c>
      <c r="AG51" s="14">
        <f>SUMIFS(Routes[Net elevation (m)],Routes[Corridor],E51,Routes[Direction],F51)</f>
        <v>5</v>
      </c>
      <c r="AH51" s="14">
        <f t="shared" si="75"/>
        <v>16500</v>
      </c>
      <c r="AI51" s="14">
        <f t="shared" si="76"/>
        <v>0.25</v>
      </c>
      <c r="AJ51" s="14">
        <f t="shared" si="77"/>
        <v>8.1</v>
      </c>
      <c r="AK51" s="14">
        <f t="shared" si="49"/>
        <v>125.02151175430606</v>
      </c>
      <c r="AL51" s="14">
        <f t="shared" si="50"/>
        <v>3.4522644444444439</v>
      </c>
      <c r="AM51" s="14">
        <f t="shared" si="51"/>
        <v>3.4522644444444439</v>
      </c>
      <c r="AN51" s="14">
        <f t="shared" si="52"/>
        <v>0.46408694444444437</v>
      </c>
      <c r="AO51" s="14">
        <f t="shared" si="53"/>
        <v>2.9881774999999999</v>
      </c>
      <c r="AP51" s="14">
        <f t="shared" si="54"/>
        <v>41.521588856960854</v>
      </c>
      <c r="AQ51" s="14">
        <f t="shared" si="55"/>
        <v>8.2787934971220309</v>
      </c>
      <c r="AR51" s="14">
        <f t="shared" si="56"/>
        <v>45.573031767083435</v>
      </c>
      <c r="AS51" s="14">
        <f t="shared" si="57"/>
        <v>44.734505798064852</v>
      </c>
      <c r="AT51" s="14">
        <f t="shared" si="58"/>
        <v>39.80630290596951</v>
      </c>
      <c r="AU51" s="14">
        <f t="shared" si="78"/>
        <v>41.836660094861308</v>
      </c>
      <c r="AV51" s="14">
        <f t="shared" si="79"/>
        <v>12.746620192423604</v>
      </c>
      <c r="AW51" s="14">
        <f t="shared" si="59"/>
        <v>43.588442276068953</v>
      </c>
      <c r="AX51" s="14">
        <f t="shared" si="80"/>
        <v>0.2248125</v>
      </c>
      <c r="AY51" s="14">
        <f t="shared" si="60"/>
        <v>41.836660094861308</v>
      </c>
      <c r="AZ51" s="14">
        <f t="shared" si="81"/>
        <v>0.2248125</v>
      </c>
      <c r="BA51" s="14">
        <f t="shared" si="82"/>
        <v>30.841822083645347</v>
      </c>
      <c r="BB51" s="14">
        <f t="shared" si="61"/>
        <v>85.64991487093026</v>
      </c>
      <c r="BC51" s="14">
        <f t="shared" si="83"/>
        <v>103.27354539209051</v>
      </c>
      <c r="BD51" s="14">
        <f t="shared" si="84"/>
        <v>27.963341999999994</v>
      </c>
      <c r="BE51" s="14">
        <f t="shared" si="85"/>
        <v>0</v>
      </c>
      <c r="BF51" s="14">
        <f t="shared" si="86"/>
        <v>15.347199087042759</v>
      </c>
      <c r="BG51" s="14">
        <f t="shared" si="62"/>
        <v>115.88968830504774</v>
      </c>
      <c r="BH51" s="14" t="str">
        <f t="shared" si="87"/>
        <v/>
      </c>
      <c r="BI51" s="14">
        <f t="shared" si="88"/>
        <v>1</v>
      </c>
      <c r="BJ51" s="14">
        <f t="shared" si="63"/>
        <v>115.88968830504774</v>
      </c>
      <c r="BK51" s="14">
        <f t="shared" si="33"/>
        <v>417.20287789817189</v>
      </c>
      <c r="BL51" s="14" t="str">
        <f t="shared" si="89"/>
        <v/>
      </c>
      <c r="BM51" s="14">
        <f t="shared" si="90"/>
        <v>125.96705250548666</v>
      </c>
      <c r="BN51" s="14">
        <f t="shared" si="64"/>
        <v>0.92695798250140904</v>
      </c>
      <c r="BO51" s="14">
        <f t="shared" si="65"/>
        <v>1.0787975494870718</v>
      </c>
      <c r="BP51" s="14" t="str">
        <f t="shared" si="66"/>
        <v/>
      </c>
      <c r="BQ51" s="22">
        <f t="shared" si="67"/>
        <v>0.73906415767967559</v>
      </c>
      <c r="BR51" s="14">
        <f t="shared" si="91"/>
        <v>1196.6869988021233</v>
      </c>
      <c r="BS51" s="14">
        <f t="shared" si="92"/>
        <v>89.436607278895522</v>
      </c>
      <c r="BT51" s="14">
        <f t="shared" si="68"/>
        <v>9.5718487323515049</v>
      </c>
      <c r="BU51" s="14">
        <f t="shared" si="69"/>
        <v>0.71536974736521775</v>
      </c>
      <c r="BV51" s="22" t="str">
        <f t="shared" si="70"/>
        <v/>
      </c>
      <c r="BW51" s="14" t="e">
        <f t="shared" si="71"/>
        <v>#N/A</v>
      </c>
      <c r="BX51" s="14" t="e">
        <f t="shared" si="72"/>
        <v>#N/A</v>
      </c>
    </row>
    <row r="52" spans="1:76" x14ac:dyDescent="0.25">
      <c r="A52" s="12" t="s">
        <v>503</v>
      </c>
      <c r="B52" s="12" t="s">
        <v>178</v>
      </c>
      <c r="C52" s="15">
        <v>46223</v>
      </c>
      <c r="D52" s="12" t="s">
        <v>457</v>
      </c>
      <c r="E52" s="12" t="s">
        <v>29</v>
      </c>
      <c r="F52" s="12" t="s">
        <v>52</v>
      </c>
      <c r="G52" s="16">
        <v>0.70606481481481487</v>
      </c>
      <c r="H52" s="14">
        <v>0</v>
      </c>
      <c r="I52" s="14">
        <v>21.383333333333329</v>
      </c>
      <c r="J52" s="14">
        <v>1</v>
      </c>
      <c r="K52" s="14">
        <v>0</v>
      </c>
      <c r="L52" s="14">
        <v>39.18333333333333</v>
      </c>
      <c r="M52" s="14">
        <v>30.466666666666669</v>
      </c>
      <c r="N52" s="14">
        <v>102.4992666666667</v>
      </c>
      <c r="O52" s="14">
        <v>0</v>
      </c>
      <c r="P52" s="14">
        <v>0.1090721560237224</v>
      </c>
      <c r="Q52" s="14">
        <v>0.87722495457012495</v>
      </c>
      <c r="R52" s="14">
        <v>0</v>
      </c>
      <c r="S52" s="14">
        <v>28.213201619757211</v>
      </c>
      <c r="T52" s="14">
        <v>20.93633895165053</v>
      </c>
      <c r="U52" s="14">
        <v>73.751298912570178</v>
      </c>
      <c r="V52" s="18"/>
      <c r="W52" s="18"/>
      <c r="X52" s="18"/>
      <c r="Y52" s="18"/>
      <c r="Z52" s="18"/>
      <c r="AA52" s="14" t="str">
        <f>IF(AND(D52&lt;&gt;"EV",D52&lt;&gt;"Diesel"),"Invalid vehicle",IF(COUNTIFS(Routes[Corridor],E52,Routes[Direction],F52)=0,"Unknown route",IF(C52="","Missing date",IF(SUM(O52:U52)&lt;=0,"No distance","OK"))))</f>
        <v>OK</v>
      </c>
      <c r="AB52" s="17">
        <f t="shared" si="47"/>
        <v>46204</v>
      </c>
      <c r="AC52" s="14">
        <f>--(COUNTIFS($C$5:C52,C52,$D$5:D52,D52,$G$5:G52,G52,$F$5:F52,F52)=1)</f>
        <v>0</v>
      </c>
      <c r="AD52" s="14">
        <f t="shared" si="73"/>
        <v>0</v>
      </c>
      <c r="AE52" s="14">
        <f t="shared" si="74"/>
        <v>1</v>
      </c>
      <c r="AF52" s="14">
        <f t="shared" si="48"/>
        <v>0</v>
      </c>
      <c r="AG52" s="14">
        <f>SUMIFS(Routes[Net elevation (m)],Routes[Corridor],E52,Routes[Direction],F52)</f>
        <v>5</v>
      </c>
      <c r="AH52" s="14">
        <f t="shared" si="75"/>
        <v>14500</v>
      </c>
      <c r="AI52" s="14">
        <f t="shared" si="76"/>
        <v>0.25</v>
      </c>
      <c r="AJ52" s="14">
        <f t="shared" si="77"/>
        <v>8.1</v>
      </c>
      <c r="AK52" s="14">
        <f t="shared" si="49"/>
        <v>123.88713659457177</v>
      </c>
      <c r="AL52" s="14">
        <f t="shared" si="50"/>
        <v>3.2422100000000005</v>
      </c>
      <c r="AM52" s="14">
        <f t="shared" si="51"/>
        <v>3.2422100000000005</v>
      </c>
      <c r="AN52" s="14">
        <f t="shared" si="52"/>
        <v>0.37305555555555547</v>
      </c>
      <c r="AO52" s="14">
        <f t="shared" si="53"/>
        <v>2.8691544444444452</v>
      </c>
      <c r="AP52" s="14">
        <f t="shared" si="54"/>
        <v>42.835212207537758</v>
      </c>
      <c r="AQ52" s="14">
        <f t="shared" si="55"/>
        <v>0</v>
      </c>
      <c r="AR52" s="14">
        <f t="shared" si="56"/>
        <v>43.201839996225424</v>
      </c>
      <c r="AS52" s="14">
        <f t="shared" si="57"/>
        <v>41.231302092966033</v>
      </c>
      <c r="AT52" s="14">
        <f t="shared" si="58"/>
        <v>43.171800917803729</v>
      </c>
      <c r="AU52" s="14">
        <f t="shared" si="78"/>
        <v>41.289009325125733</v>
      </c>
      <c r="AV52" s="14">
        <f t="shared" si="79"/>
        <v>8.189709274464672</v>
      </c>
      <c r="AW52" s="14">
        <f t="shared" si="59"/>
        <v>28.409126631005524</v>
      </c>
      <c r="AX52" s="14">
        <f t="shared" si="80"/>
        <v>0.1975625</v>
      </c>
      <c r="AY52" s="14">
        <f t="shared" si="60"/>
        <v>41.289009325125733</v>
      </c>
      <c r="AZ52" s="14">
        <f t="shared" si="81"/>
        <v>0.1975625</v>
      </c>
      <c r="BA52" s="14">
        <f t="shared" si="82"/>
        <v>20.219417356540852</v>
      </c>
      <c r="BB52" s="14">
        <f t="shared" si="61"/>
        <v>69.895698456131257</v>
      </c>
      <c r="BC52" s="14">
        <f t="shared" si="83"/>
        <v>217.0673865097244</v>
      </c>
      <c r="BD52" s="14">
        <f t="shared" si="84"/>
        <v>66.400431428571451</v>
      </c>
      <c r="BE52" s="14">
        <f t="shared" si="85"/>
        <v>9.3004822530864164</v>
      </c>
      <c r="BF52" s="14">
        <f t="shared" si="86"/>
        <v>0</v>
      </c>
      <c r="BG52" s="14">
        <f t="shared" si="62"/>
        <v>292.76830019138231</v>
      </c>
      <c r="BH52" s="14" t="str">
        <f t="shared" si="87"/>
        <v/>
      </c>
      <c r="BI52" s="14">
        <f t="shared" si="88"/>
        <v>1</v>
      </c>
      <c r="BJ52" s="14">
        <f t="shared" si="63"/>
        <v>292.76830019138231</v>
      </c>
      <c r="BK52" s="14">
        <f t="shared" si="33"/>
        <v>1053.9658806889763</v>
      </c>
      <c r="BL52" s="14">
        <f t="shared" si="89"/>
        <v>29.358381077687365</v>
      </c>
      <c r="BM52" s="14" t="str">
        <f t="shared" si="90"/>
        <v/>
      </c>
      <c r="BN52" s="14">
        <f t="shared" si="64"/>
        <v>2.3631856239399935</v>
      </c>
      <c r="BO52" s="14">
        <f t="shared" si="65"/>
        <v>0.42315761820383863</v>
      </c>
      <c r="BP52" s="14">
        <f t="shared" si="66"/>
        <v>4.2198218037549458</v>
      </c>
      <c r="BQ52" s="22">
        <f t="shared" si="67"/>
        <v>0.23874066424008514</v>
      </c>
      <c r="BR52" s="14">
        <f t="shared" si="91"/>
        <v>2700.9710591472376</v>
      </c>
      <c r="BS52" s="14">
        <f t="shared" si="92"/>
        <v>78.680461288202139</v>
      </c>
      <c r="BT52" s="14">
        <f t="shared" si="68"/>
        <v>21.801868486042505</v>
      </c>
      <c r="BU52" s="14">
        <f t="shared" si="69"/>
        <v>0.63509790807167299</v>
      </c>
      <c r="BV52" s="22" t="str">
        <f t="shared" si="70"/>
        <v/>
      </c>
      <c r="BW52" s="14" t="e">
        <f t="shared" si="71"/>
        <v>#N/A</v>
      </c>
      <c r="BX52" s="14" t="e">
        <f t="shared" si="72"/>
        <v>#N/A</v>
      </c>
    </row>
    <row r="53" spans="1:76" x14ac:dyDescent="0.25">
      <c r="A53" s="12" t="s">
        <v>504</v>
      </c>
      <c r="B53" s="12" t="s">
        <v>181</v>
      </c>
      <c r="C53" s="15">
        <v>46223</v>
      </c>
      <c r="D53" s="12" t="s">
        <v>300</v>
      </c>
      <c r="E53" s="12" t="s">
        <v>29</v>
      </c>
      <c r="F53" s="12" t="s">
        <v>52</v>
      </c>
      <c r="G53" s="16">
        <v>0.59369212962962958</v>
      </c>
      <c r="H53" s="14">
        <v>0</v>
      </c>
      <c r="I53" s="14">
        <v>23.847033333333339</v>
      </c>
      <c r="J53" s="14">
        <v>3.6833333333333331</v>
      </c>
      <c r="K53" s="14">
        <v>0.25</v>
      </c>
      <c r="L53" s="14">
        <v>50.55</v>
      </c>
      <c r="M53" s="14">
        <v>32.700000000000003</v>
      </c>
      <c r="N53" s="14">
        <v>78.960683333333321</v>
      </c>
      <c r="O53" s="14">
        <v>0</v>
      </c>
      <c r="P53" s="14">
        <v>0.19263724537963819</v>
      </c>
      <c r="Q53" s="14">
        <v>0.55895774646599539</v>
      </c>
      <c r="R53" s="14">
        <v>0.1091649650425091</v>
      </c>
      <c r="S53" s="14">
        <v>41.384212685216482</v>
      </c>
      <c r="T53" s="14">
        <v>26.988321053442991</v>
      </c>
      <c r="U53" s="14">
        <v>67.483594884180178</v>
      </c>
      <c r="V53" s="18"/>
      <c r="W53" s="18"/>
      <c r="X53" s="18"/>
      <c r="Y53" s="18"/>
      <c r="Z53" s="18"/>
      <c r="AA53" s="14" t="str">
        <f>IF(AND(D53&lt;&gt;"EV",D53&lt;&gt;"Diesel"),"Invalid vehicle",IF(COUNTIFS(Routes[Corridor],E53,Routes[Direction],F53)=0,"Unknown route",IF(C53="","Missing date",IF(SUM(O53:U53)&lt;=0,"No distance","OK"))))</f>
        <v>OK</v>
      </c>
      <c r="AB53" s="17">
        <f t="shared" si="47"/>
        <v>46204</v>
      </c>
      <c r="AC53" s="14">
        <f>--(COUNTIFS($C$5:C53,C53,$D$5:D53,D53,$G$5:G53,G53,$F$5:F53,F53)=1)</f>
        <v>0</v>
      </c>
      <c r="AD53" s="14">
        <f t="shared" si="73"/>
        <v>0</v>
      </c>
      <c r="AE53" s="14">
        <f t="shared" si="74"/>
        <v>1</v>
      </c>
      <c r="AF53" s="14">
        <f t="shared" si="48"/>
        <v>0</v>
      </c>
      <c r="AG53" s="14">
        <f>SUMIFS(Routes[Net elevation (m)],Routes[Corridor],E53,Routes[Direction],F53)</f>
        <v>5</v>
      </c>
      <c r="AH53" s="14">
        <f t="shared" si="75"/>
        <v>16500</v>
      </c>
      <c r="AI53" s="14">
        <f t="shared" si="76"/>
        <v>0.25</v>
      </c>
      <c r="AJ53" s="14">
        <f t="shared" si="77"/>
        <v>8.1</v>
      </c>
      <c r="AK53" s="14">
        <f t="shared" si="49"/>
        <v>136.71688857972779</v>
      </c>
      <c r="AL53" s="14">
        <f t="shared" si="50"/>
        <v>3.1665174999999994</v>
      </c>
      <c r="AM53" s="14">
        <f t="shared" si="51"/>
        <v>3.1665174999999994</v>
      </c>
      <c r="AN53" s="14">
        <f t="shared" si="52"/>
        <v>0.45883944444444452</v>
      </c>
      <c r="AO53" s="14">
        <f t="shared" si="53"/>
        <v>2.7076780555555553</v>
      </c>
      <c r="AP53" s="14">
        <f t="shared" si="54"/>
        <v>50.214719327104461</v>
      </c>
      <c r="AQ53" s="14">
        <f t="shared" si="55"/>
        <v>26.199591610202184</v>
      </c>
      <c r="AR53" s="14">
        <f t="shared" si="56"/>
        <v>49.120727222808888</v>
      </c>
      <c r="AS53" s="14">
        <f t="shared" si="57"/>
        <v>49.519855143932091</v>
      </c>
      <c r="AT53" s="14">
        <f t="shared" si="58"/>
        <v>51.278883643367806</v>
      </c>
      <c r="AU53" s="14">
        <f t="shared" si="78"/>
        <v>53.231507046508973</v>
      </c>
      <c r="AV53" s="14">
        <f t="shared" si="79"/>
        <v>12.954970605810642</v>
      </c>
      <c r="AW53" s="14">
        <f t="shared" si="59"/>
        <v>47.419410368477216</v>
      </c>
      <c r="AX53" s="14">
        <f t="shared" si="80"/>
        <v>0.2248125</v>
      </c>
      <c r="AY53" s="14">
        <f t="shared" si="60"/>
        <v>53.231507046508973</v>
      </c>
      <c r="AZ53" s="14">
        <f t="shared" si="81"/>
        <v>0.2248125</v>
      </c>
      <c r="BA53" s="14">
        <f t="shared" si="82"/>
        <v>34.464439762666572</v>
      </c>
      <c r="BB53" s="14">
        <f t="shared" si="61"/>
        <v>100.8757299149862</v>
      </c>
      <c r="BC53" s="14">
        <f t="shared" si="83"/>
        <v>121.63227818772076</v>
      </c>
      <c r="BD53" s="14">
        <f t="shared" si="84"/>
        <v>25.648791749999994</v>
      </c>
      <c r="BE53" s="14">
        <f t="shared" si="85"/>
        <v>0</v>
      </c>
      <c r="BF53" s="14">
        <f t="shared" si="86"/>
        <v>17.14984987030051</v>
      </c>
      <c r="BG53" s="14">
        <f t="shared" si="62"/>
        <v>130.13122006742026</v>
      </c>
      <c r="BH53" s="14" t="str">
        <f t="shared" si="87"/>
        <v/>
      </c>
      <c r="BI53" s="14">
        <f t="shared" si="88"/>
        <v>1</v>
      </c>
      <c r="BJ53" s="14">
        <f t="shared" si="63"/>
        <v>130.13122006742026</v>
      </c>
      <c r="BK53" s="14">
        <f t="shared" si="33"/>
        <v>468.47239224271294</v>
      </c>
      <c r="BL53" s="14" t="str">
        <f t="shared" si="89"/>
        <v/>
      </c>
      <c r="BM53" s="14">
        <f t="shared" si="90"/>
        <v>141.44697833415245</v>
      </c>
      <c r="BN53" s="14">
        <f t="shared" si="64"/>
        <v>0.95182988304720639</v>
      </c>
      <c r="BO53" s="14">
        <f t="shared" si="65"/>
        <v>1.0506079056885469</v>
      </c>
      <c r="BP53" s="14" t="str">
        <f t="shared" si="66"/>
        <v/>
      </c>
      <c r="BQ53" s="22">
        <f t="shared" si="67"/>
        <v>0.77518469328669204</v>
      </c>
      <c r="BR53" s="14">
        <f t="shared" si="91"/>
        <v>1343.7462941744482</v>
      </c>
      <c r="BS53" s="14">
        <f t="shared" si="92"/>
        <v>100.42735461724823</v>
      </c>
      <c r="BT53" s="14">
        <f t="shared" si="68"/>
        <v>9.8286781401613688</v>
      </c>
      <c r="BU53" s="14">
        <f t="shared" si="69"/>
        <v>0.73456436626469179</v>
      </c>
      <c r="BV53" s="22" t="str">
        <f t="shared" si="70"/>
        <v/>
      </c>
      <c r="BW53" s="14" t="e">
        <f t="shared" si="71"/>
        <v>#N/A</v>
      </c>
      <c r="BX53" s="14" t="e">
        <f t="shared" si="72"/>
        <v>#N/A</v>
      </c>
    </row>
    <row r="54" spans="1:76" x14ac:dyDescent="0.25">
      <c r="A54" s="12" t="s">
        <v>505</v>
      </c>
      <c r="B54" s="12" t="s">
        <v>181</v>
      </c>
      <c r="C54" s="15">
        <v>46221</v>
      </c>
      <c r="D54" s="12" t="s">
        <v>457</v>
      </c>
      <c r="E54" s="12" t="s">
        <v>29</v>
      </c>
      <c r="F54" s="12" t="s">
        <v>52</v>
      </c>
      <c r="G54" s="16">
        <v>0.68094907407407412</v>
      </c>
      <c r="H54" s="14">
        <v>0</v>
      </c>
      <c r="I54" s="14">
        <v>23.716666666666669</v>
      </c>
      <c r="J54" s="14">
        <v>4.4333333333333336</v>
      </c>
      <c r="K54" s="14">
        <v>9.5500000000000007</v>
      </c>
      <c r="L54" s="14">
        <v>50.65</v>
      </c>
      <c r="M54" s="14">
        <v>34.233333333333327</v>
      </c>
      <c r="N54" s="14">
        <v>109.3</v>
      </c>
      <c r="O54" s="14">
        <v>0</v>
      </c>
      <c r="P54" s="14">
        <v>0.11699904226004509</v>
      </c>
      <c r="Q54" s="14">
        <v>0.96270223906633912</v>
      </c>
      <c r="R54" s="14">
        <v>0.78217538796692843</v>
      </c>
      <c r="S54" s="14">
        <v>36.712209444916184</v>
      </c>
      <c r="T54" s="14">
        <v>25.040527354235781</v>
      </c>
      <c r="U54" s="14">
        <v>74.293641117732662</v>
      </c>
      <c r="V54" s="18"/>
      <c r="W54" s="18"/>
      <c r="X54" s="18"/>
      <c r="Y54" s="18"/>
      <c r="Z54" s="18"/>
      <c r="AA54" s="14" t="str">
        <f>IF(AND(D54&lt;&gt;"EV",D54&lt;&gt;"Diesel"),"Invalid vehicle",IF(COUNTIFS(Routes[Corridor],E54,Routes[Direction],F54)=0,"Unknown route",IF(C54="","Missing date",IF(SUM(O54:U54)&lt;=0,"No distance","OK"))))</f>
        <v>OK</v>
      </c>
      <c r="AB54" s="17">
        <f t="shared" si="47"/>
        <v>46204</v>
      </c>
      <c r="AC54" s="14">
        <f>--(COUNTIFS($C$5:C54,C54,$D$5:D54,D54,$G$5:G54,G54,$F$5:F54,F54)=1)</f>
        <v>0</v>
      </c>
      <c r="AD54" s="14">
        <f t="shared" si="73"/>
        <v>0</v>
      </c>
      <c r="AE54" s="14">
        <f t="shared" si="74"/>
        <v>1</v>
      </c>
      <c r="AF54" s="14">
        <f t="shared" si="48"/>
        <v>0</v>
      </c>
      <c r="AG54" s="14">
        <f>SUMIFS(Routes[Net elevation (m)],Routes[Corridor],E54,Routes[Direction],F54)</f>
        <v>5</v>
      </c>
      <c r="AH54" s="14">
        <f t="shared" si="75"/>
        <v>14500</v>
      </c>
      <c r="AI54" s="14">
        <f t="shared" si="76"/>
        <v>0.25</v>
      </c>
      <c r="AJ54" s="14">
        <f t="shared" si="77"/>
        <v>8.1</v>
      </c>
      <c r="AK54" s="14">
        <f t="shared" si="49"/>
        <v>137.90825458617792</v>
      </c>
      <c r="AL54" s="14">
        <f t="shared" si="50"/>
        <v>3.8647222222222219</v>
      </c>
      <c r="AM54" s="14">
        <f t="shared" si="51"/>
        <v>3.8647222222222219</v>
      </c>
      <c r="AN54" s="14">
        <f t="shared" si="52"/>
        <v>0.46916666666666668</v>
      </c>
      <c r="AO54" s="14">
        <f t="shared" si="53"/>
        <v>3.3955555555555557</v>
      </c>
      <c r="AP54" s="14">
        <f t="shared" si="54"/>
        <v>40.296367138208893</v>
      </c>
      <c r="AQ54" s="14">
        <f t="shared" si="55"/>
        <v>4.9141909191639481</v>
      </c>
      <c r="AR54" s="14">
        <f t="shared" si="56"/>
        <v>43.489290556662809</v>
      </c>
      <c r="AS54" s="14">
        <f t="shared" si="57"/>
        <v>43.887973941211698</v>
      </c>
      <c r="AT54" s="14">
        <f t="shared" si="58"/>
        <v>40.783334556852331</v>
      </c>
      <c r="AU54" s="14">
        <f t="shared" si="78"/>
        <v>44.22800939062914</v>
      </c>
      <c r="AV54" s="14">
        <f t="shared" si="79"/>
        <v>10.176816647892545</v>
      </c>
      <c r="AW54" s="14">
        <f t="shared" si="59"/>
        <v>36.96715534383921</v>
      </c>
      <c r="AX54" s="14">
        <f t="shared" si="80"/>
        <v>0.1975625</v>
      </c>
      <c r="AY54" s="14">
        <f t="shared" si="60"/>
        <v>44.22800939062914</v>
      </c>
      <c r="AZ54" s="14">
        <f t="shared" si="81"/>
        <v>0.1975625</v>
      </c>
      <c r="BA54" s="14">
        <f t="shared" si="82"/>
        <v>26.790338695946666</v>
      </c>
      <c r="BB54" s="14">
        <f t="shared" si="61"/>
        <v>81.392727234468353</v>
      </c>
      <c r="BC54" s="14">
        <f t="shared" si="83"/>
        <v>252.77244482754145</v>
      </c>
      <c r="BD54" s="14">
        <f t="shared" si="84"/>
        <v>78.582857142857151</v>
      </c>
      <c r="BE54" s="14">
        <f t="shared" si="85"/>
        <v>11.696585648148147</v>
      </c>
      <c r="BF54" s="14">
        <f t="shared" si="86"/>
        <v>0</v>
      </c>
      <c r="BG54" s="14">
        <f t="shared" si="62"/>
        <v>343.05188761854674</v>
      </c>
      <c r="BH54" s="14" t="str">
        <f t="shared" si="87"/>
        <v/>
      </c>
      <c r="BI54" s="14">
        <f t="shared" si="88"/>
        <v>1</v>
      </c>
      <c r="BJ54" s="14">
        <f t="shared" si="63"/>
        <v>343.05188761854674</v>
      </c>
      <c r="BK54" s="14">
        <f t="shared" si="33"/>
        <v>1234.9867954267684</v>
      </c>
      <c r="BL54" s="14">
        <f t="shared" si="89"/>
        <v>34.400746390717785</v>
      </c>
      <c r="BM54" s="14" t="str">
        <f t="shared" si="90"/>
        <v/>
      </c>
      <c r="BN54" s="14">
        <f t="shared" si="64"/>
        <v>2.4875370125446405</v>
      </c>
      <c r="BO54" s="14">
        <f t="shared" si="65"/>
        <v>0.4020040686659147</v>
      </c>
      <c r="BP54" s="14">
        <f t="shared" si="66"/>
        <v>4.0088739069739816</v>
      </c>
      <c r="BQ54" s="22">
        <f t="shared" si="67"/>
        <v>0.23726068904472031</v>
      </c>
      <c r="BR54" s="14">
        <f t="shared" si="91"/>
        <v>3164.8686679460361</v>
      </c>
      <c r="BS54" s="14">
        <f t="shared" si="92"/>
        <v>92.194000327123675</v>
      </c>
      <c r="BT54" s="14">
        <f t="shared" si="68"/>
        <v>22.949087982027439</v>
      </c>
      <c r="BU54" s="14">
        <f t="shared" si="69"/>
        <v>0.66851691078079944</v>
      </c>
      <c r="BV54" s="22" t="str">
        <f t="shared" si="70"/>
        <v/>
      </c>
      <c r="BW54" s="14" t="e">
        <f t="shared" si="71"/>
        <v>#N/A</v>
      </c>
      <c r="BX54" s="14" t="e">
        <f t="shared" si="72"/>
        <v>#N/A</v>
      </c>
    </row>
    <row r="55" spans="1:76" x14ac:dyDescent="0.25">
      <c r="A55" s="12" t="s">
        <v>506</v>
      </c>
      <c r="B55" s="12" t="s">
        <v>183</v>
      </c>
      <c r="C55" s="15">
        <v>46221</v>
      </c>
      <c r="D55" s="12" t="s">
        <v>300</v>
      </c>
      <c r="E55" s="12" t="s">
        <v>29</v>
      </c>
      <c r="F55" s="12" t="s">
        <v>52</v>
      </c>
      <c r="G55" s="16">
        <v>0.59349537037037037</v>
      </c>
      <c r="H55" s="14">
        <v>0</v>
      </c>
      <c r="I55" s="14">
        <v>32.85</v>
      </c>
      <c r="J55" s="14">
        <v>9.8868999999999989</v>
      </c>
      <c r="K55" s="14">
        <v>7.9333333333333336</v>
      </c>
      <c r="L55" s="14">
        <v>61.06666666666667</v>
      </c>
      <c r="M55" s="14">
        <v>46.8</v>
      </c>
      <c r="N55" s="14">
        <v>122.55</v>
      </c>
      <c r="O55" s="14">
        <v>0</v>
      </c>
      <c r="P55" s="14">
        <v>0.5585488688475958</v>
      </c>
      <c r="Q55" s="14">
        <v>1.3470620501331301</v>
      </c>
      <c r="R55" s="14">
        <v>1.1588950583343161</v>
      </c>
      <c r="S55" s="14">
        <v>45.26405758465819</v>
      </c>
      <c r="T55" s="14">
        <v>33.585180420899938</v>
      </c>
      <c r="U55" s="14">
        <v>71.459183582966247</v>
      </c>
      <c r="V55" s="18"/>
      <c r="W55" s="18"/>
      <c r="X55" s="18"/>
      <c r="Y55" s="18"/>
      <c r="Z55" s="18"/>
      <c r="AA55" s="14" t="str">
        <f>IF(AND(D55&lt;&gt;"EV",D55&lt;&gt;"Diesel"),"Invalid vehicle",IF(COUNTIFS(Routes[Corridor],E55,Routes[Direction],F55)=0,"Unknown route",IF(C55="","Missing date",IF(SUM(O55:U55)&lt;=0,"No distance","OK"))))</f>
        <v>OK</v>
      </c>
      <c r="AB55" s="17">
        <f t="shared" si="47"/>
        <v>46204</v>
      </c>
      <c r="AC55" s="14">
        <f>--(COUNTIFS($C$5:C55,C55,$D$5:D55,D55,$G$5:G55,G55,$F$5:F55,F55)=1)</f>
        <v>0</v>
      </c>
      <c r="AD55" s="14">
        <f t="shared" si="73"/>
        <v>0</v>
      </c>
      <c r="AE55" s="14">
        <f t="shared" si="74"/>
        <v>1</v>
      </c>
      <c r="AF55" s="14">
        <f t="shared" si="48"/>
        <v>0</v>
      </c>
      <c r="AG55" s="14">
        <f>SUMIFS(Routes[Net elevation (m)],Routes[Corridor],E55,Routes[Direction],F55)</f>
        <v>5</v>
      </c>
      <c r="AH55" s="14">
        <f t="shared" si="75"/>
        <v>16500</v>
      </c>
      <c r="AI55" s="14">
        <f t="shared" si="76"/>
        <v>0.25</v>
      </c>
      <c r="AJ55" s="14">
        <f t="shared" si="77"/>
        <v>8.1</v>
      </c>
      <c r="AK55" s="14">
        <f t="shared" si="49"/>
        <v>153.3729275658394</v>
      </c>
      <c r="AL55" s="14">
        <f t="shared" si="50"/>
        <v>4.6847816666666668</v>
      </c>
      <c r="AM55" s="14">
        <f t="shared" si="51"/>
        <v>4.6847816666666668</v>
      </c>
      <c r="AN55" s="14">
        <f t="shared" si="52"/>
        <v>0.71228166666666659</v>
      </c>
      <c r="AO55" s="14">
        <f t="shared" si="53"/>
        <v>3.9724999999999997</v>
      </c>
      <c r="AP55" s="14">
        <f t="shared" si="54"/>
        <v>38.128965801600685</v>
      </c>
      <c r="AQ55" s="14">
        <f t="shared" si="55"/>
        <v>8.7647525420242403</v>
      </c>
      <c r="AR55" s="14">
        <f t="shared" si="56"/>
        <v>44.473419024227475</v>
      </c>
      <c r="AS55" s="14">
        <f t="shared" si="57"/>
        <v>43.057923616538389</v>
      </c>
      <c r="AT55" s="14">
        <f t="shared" si="58"/>
        <v>34.986136393129129</v>
      </c>
      <c r="AU55" s="14">
        <f t="shared" si="78"/>
        <v>49.637502363265597</v>
      </c>
      <c r="AV55" s="14">
        <f t="shared" si="79"/>
        <v>14.767386235894332</v>
      </c>
      <c r="AW55" s="14">
        <f t="shared" si="59"/>
        <v>51.865065982420838</v>
      </c>
      <c r="AX55" s="14">
        <f t="shared" si="80"/>
        <v>0.2248125</v>
      </c>
      <c r="AY55" s="14">
        <f t="shared" si="60"/>
        <v>49.637502363265597</v>
      </c>
      <c r="AZ55" s="14">
        <f t="shared" si="81"/>
        <v>0.2248125</v>
      </c>
      <c r="BA55" s="14">
        <f t="shared" si="82"/>
        <v>37.097679746526509</v>
      </c>
      <c r="BB55" s="14">
        <f t="shared" si="61"/>
        <v>101.72738084568643</v>
      </c>
      <c r="BC55" s="14">
        <f t="shared" si="83"/>
        <v>122.65916783708499</v>
      </c>
      <c r="BD55" s="14">
        <f t="shared" si="84"/>
        <v>37.946731499999999</v>
      </c>
      <c r="BE55" s="14">
        <f t="shared" si="85"/>
        <v>0</v>
      </c>
      <c r="BF55" s="14">
        <f t="shared" si="86"/>
        <v>18.460176418669054</v>
      </c>
      <c r="BG55" s="14">
        <f t="shared" si="62"/>
        <v>142.14572291841594</v>
      </c>
      <c r="BH55" s="14" t="str">
        <f t="shared" si="87"/>
        <v/>
      </c>
      <c r="BI55" s="14">
        <f t="shared" si="88"/>
        <v>1</v>
      </c>
      <c r="BJ55" s="14">
        <f t="shared" si="63"/>
        <v>142.14572291841594</v>
      </c>
      <c r="BK55" s="14">
        <f t="shared" si="33"/>
        <v>511.7246025062974</v>
      </c>
      <c r="BL55" s="14" t="str">
        <f t="shared" si="89"/>
        <v/>
      </c>
      <c r="BM55" s="14">
        <f t="shared" si="90"/>
        <v>154.50622056349559</v>
      </c>
      <c r="BN55" s="14">
        <f t="shared" si="64"/>
        <v>0.92679800258357925</v>
      </c>
      <c r="BO55" s="14">
        <f t="shared" si="65"/>
        <v>1.0789837669183144</v>
      </c>
      <c r="BP55" s="14" t="str">
        <f t="shared" si="66"/>
        <v/>
      </c>
      <c r="BQ55" s="22">
        <f t="shared" si="67"/>
        <v>0.71565558749926306</v>
      </c>
      <c r="BR55" s="14">
        <f t="shared" si="91"/>
        <v>1467.809095353208</v>
      </c>
      <c r="BS55" s="14">
        <f t="shared" si="92"/>
        <v>109.69941660008186</v>
      </c>
      <c r="BT55" s="14">
        <f t="shared" si="68"/>
        <v>9.5701967658086975</v>
      </c>
      <c r="BU55" s="14">
        <f t="shared" si="69"/>
        <v>0.7152462846025448</v>
      </c>
      <c r="BV55" s="22" t="str">
        <f t="shared" si="70"/>
        <v/>
      </c>
      <c r="BW55" s="14" t="e">
        <f t="shared" si="71"/>
        <v>#N/A</v>
      </c>
      <c r="BX55" s="14" t="e">
        <f t="shared" si="72"/>
        <v>#N/A</v>
      </c>
    </row>
    <row r="56" spans="1:76" x14ac:dyDescent="0.25">
      <c r="A56" s="12" t="s">
        <v>507</v>
      </c>
      <c r="B56" s="12" t="s">
        <v>183</v>
      </c>
      <c r="C56" s="15">
        <v>46291</v>
      </c>
      <c r="D56" s="12" t="s">
        <v>457</v>
      </c>
      <c r="E56" s="12" t="s">
        <v>29</v>
      </c>
      <c r="F56" s="12" t="s">
        <v>52</v>
      </c>
      <c r="G56" s="16">
        <v>0.67787037037037035</v>
      </c>
      <c r="H56" s="14">
        <v>0</v>
      </c>
      <c r="I56" s="14">
        <v>26.333333333333329</v>
      </c>
      <c r="J56" s="14">
        <v>10.016666666666669</v>
      </c>
      <c r="K56" s="14">
        <v>14.483333333333331</v>
      </c>
      <c r="L56" s="14">
        <v>52.6</v>
      </c>
      <c r="M56" s="14">
        <v>42.233333333333327</v>
      </c>
      <c r="N56" s="14">
        <v>146.08333333333329</v>
      </c>
      <c r="O56" s="14">
        <v>0</v>
      </c>
      <c r="P56" s="14">
        <v>0.34145817954491431</v>
      </c>
      <c r="Q56" s="14">
        <v>0.5256426997626461</v>
      </c>
      <c r="R56" s="14">
        <v>1.2222826160609359</v>
      </c>
      <c r="S56" s="14">
        <v>30.18268163700424</v>
      </c>
      <c r="T56" s="14">
        <v>24.888619369878651</v>
      </c>
      <c r="U56" s="14">
        <v>96.902750674201656</v>
      </c>
      <c r="V56" s="18"/>
      <c r="W56" s="18"/>
      <c r="X56" s="18"/>
      <c r="Y56" s="18"/>
      <c r="Z56" s="18"/>
      <c r="AA56" s="14" t="str">
        <f>IF(AND(D56&lt;&gt;"EV",D56&lt;&gt;"Diesel"),"Invalid vehicle",IF(COUNTIFS(Routes[Corridor],E56,Routes[Direction],F56)=0,"Unknown route",IF(C56="","Missing date",IF(SUM(O56:U56)&lt;=0,"No distance","OK"))))</f>
        <v>OK</v>
      </c>
      <c r="AB56" s="17">
        <f t="shared" si="47"/>
        <v>46266</v>
      </c>
      <c r="AC56" s="14">
        <f>--(COUNTIFS($C$5:C56,C56,$D$5:D56,D56,$G$5:G56,G56,$F$5:F56,F56)=1)</f>
        <v>0</v>
      </c>
      <c r="AD56" s="14">
        <f t="shared" si="73"/>
        <v>0</v>
      </c>
      <c r="AE56" s="14">
        <f t="shared" si="74"/>
        <v>1</v>
      </c>
      <c r="AF56" s="14">
        <f t="shared" si="48"/>
        <v>0</v>
      </c>
      <c r="AG56" s="14">
        <f>SUMIFS(Routes[Net elevation (m)],Routes[Corridor],E56,Routes[Direction],F56)</f>
        <v>5</v>
      </c>
      <c r="AH56" s="14">
        <f t="shared" si="75"/>
        <v>14500</v>
      </c>
      <c r="AI56" s="14">
        <f t="shared" si="76"/>
        <v>0.25</v>
      </c>
      <c r="AJ56" s="14">
        <f t="shared" si="77"/>
        <v>8.1</v>
      </c>
      <c r="AK56" s="14">
        <f t="shared" si="49"/>
        <v>154.06343517645303</v>
      </c>
      <c r="AL56" s="14">
        <f t="shared" si="50"/>
        <v>4.8624999999999989</v>
      </c>
      <c r="AM56" s="14">
        <f t="shared" si="51"/>
        <v>4.8624999999999989</v>
      </c>
      <c r="AN56" s="14">
        <f t="shared" si="52"/>
        <v>0.60583333333333322</v>
      </c>
      <c r="AO56" s="14">
        <f t="shared" si="53"/>
        <v>4.2566666666666659</v>
      </c>
      <c r="AP56" s="14">
        <f t="shared" si="54"/>
        <v>35.989741808256582</v>
      </c>
      <c r="AQ56" s="14">
        <f t="shared" si="55"/>
        <v>5.0635413323583087</v>
      </c>
      <c r="AR56" s="14">
        <f t="shared" si="56"/>
        <v>34.428914414833734</v>
      </c>
      <c r="AS56" s="14">
        <f t="shared" si="57"/>
        <v>35.358733122163834</v>
      </c>
      <c r="AT56" s="14">
        <f t="shared" si="58"/>
        <v>39.800331138291625</v>
      </c>
      <c r="AU56" s="14">
        <f t="shared" si="78"/>
        <v>48.487897939227494</v>
      </c>
      <c r="AV56" s="14">
        <f t="shared" si="79"/>
        <v>8.9812068936677498</v>
      </c>
      <c r="AW56" s="14">
        <f t="shared" si="59"/>
        <v>30.392283592816767</v>
      </c>
      <c r="AX56" s="14">
        <f t="shared" si="80"/>
        <v>0.1975625</v>
      </c>
      <c r="AY56" s="14">
        <f t="shared" si="60"/>
        <v>48.487897939227494</v>
      </c>
      <c r="AZ56" s="14">
        <f t="shared" si="81"/>
        <v>0.1975625</v>
      </c>
      <c r="BA56" s="14">
        <f t="shared" si="82"/>
        <v>21.411076699149017</v>
      </c>
      <c r="BB56" s="14">
        <f t="shared" si="61"/>
        <v>79.077744032044265</v>
      </c>
      <c r="BC56" s="14">
        <f t="shared" si="83"/>
        <v>245.58305600013747</v>
      </c>
      <c r="BD56" s="14">
        <f t="shared" si="84"/>
        <v>98.511428571428553</v>
      </c>
      <c r="BE56" s="14">
        <f t="shared" si="85"/>
        <v>15.103761574074069</v>
      </c>
      <c r="BF56" s="14">
        <f t="shared" si="86"/>
        <v>0</v>
      </c>
      <c r="BG56" s="14">
        <f t="shared" si="62"/>
        <v>359.19824614564004</v>
      </c>
      <c r="BH56" s="14" t="str">
        <f t="shared" si="87"/>
        <v/>
      </c>
      <c r="BI56" s="14">
        <f t="shared" si="88"/>
        <v>1</v>
      </c>
      <c r="BJ56" s="14">
        <f t="shared" si="63"/>
        <v>359.19824614564004</v>
      </c>
      <c r="BK56" s="14">
        <f t="shared" si="33"/>
        <v>1293.1136861243042</v>
      </c>
      <c r="BL56" s="14">
        <f t="shared" si="89"/>
        <v>36.019879836331597</v>
      </c>
      <c r="BM56" s="14" t="str">
        <f t="shared" si="90"/>
        <v/>
      </c>
      <c r="BN56" s="14">
        <f t="shared" si="64"/>
        <v>2.3314957616921923</v>
      </c>
      <c r="BO56" s="14">
        <f t="shared" si="65"/>
        <v>0.42890920774147284</v>
      </c>
      <c r="BP56" s="14">
        <f t="shared" si="66"/>
        <v>4.2771779327552428</v>
      </c>
      <c r="BQ56" s="22">
        <f t="shared" si="67"/>
        <v>0.22015069639282567</v>
      </c>
      <c r="BR56" s="14">
        <f t="shared" si="91"/>
        <v>3313.828944942507</v>
      </c>
      <c r="BS56" s="14">
        <f t="shared" si="92"/>
        <v>96.533277961368682</v>
      </c>
      <c r="BT56" s="14">
        <f t="shared" si="68"/>
        <v>21.509509645472264</v>
      </c>
      <c r="BU56" s="14">
        <f t="shared" si="69"/>
        <v>0.62658136793332242</v>
      </c>
      <c r="BV56" s="22" t="str">
        <f t="shared" si="70"/>
        <v/>
      </c>
      <c r="BW56" s="14" t="e">
        <f t="shared" si="71"/>
        <v>#N/A</v>
      </c>
      <c r="BX56" s="14" t="e">
        <f t="shared" si="72"/>
        <v>#N/A</v>
      </c>
    </row>
    <row r="57" spans="1:76" x14ac:dyDescent="0.25">
      <c r="A57" s="12" t="s">
        <v>508</v>
      </c>
      <c r="B57" s="12" t="s">
        <v>186</v>
      </c>
      <c r="C57" s="15">
        <v>46291</v>
      </c>
      <c r="D57" s="12" t="s">
        <v>300</v>
      </c>
      <c r="E57" s="12" t="s">
        <v>29</v>
      </c>
      <c r="F57" s="12" t="s">
        <v>52</v>
      </c>
      <c r="G57" s="16">
        <v>0.60513888888888889</v>
      </c>
      <c r="H57" s="14">
        <v>0</v>
      </c>
      <c r="I57" s="14">
        <v>31.033333333333331</v>
      </c>
      <c r="J57" s="14">
        <v>10.96666666666667</v>
      </c>
      <c r="K57" s="14">
        <v>2.9333333333333331</v>
      </c>
      <c r="L57" s="14">
        <v>62.68333333333333</v>
      </c>
      <c r="M57" s="14">
        <v>46.940983333333328</v>
      </c>
      <c r="N57" s="14">
        <v>65.351150000000004</v>
      </c>
      <c r="O57" s="14">
        <v>0</v>
      </c>
      <c r="P57" s="14">
        <v>0.1769495542483206</v>
      </c>
      <c r="Q57" s="14">
        <v>0.28644165794522208</v>
      </c>
      <c r="R57" s="14">
        <v>0.23768555241039721</v>
      </c>
      <c r="S57" s="14">
        <v>48.513466786391881</v>
      </c>
      <c r="T57" s="14">
        <v>34.664168060301797</v>
      </c>
      <c r="U57" s="14">
        <v>54.415752988771978</v>
      </c>
      <c r="V57" s="18"/>
      <c r="W57" s="18"/>
      <c r="X57" s="18"/>
      <c r="Y57" s="18"/>
      <c r="Z57" s="18"/>
      <c r="AA57" s="14" t="str">
        <f>IF(AND(D57&lt;&gt;"EV",D57&lt;&gt;"Diesel"),"Invalid vehicle",IF(COUNTIFS(Routes[Corridor],E57,Routes[Direction],F57)=0,"Unknown route",IF(C57="","Missing date",IF(SUM(O57:U57)&lt;=0,"No distance","OK"))))</f>
        <v>OK</v>
      </c>
      <c r="AB57" s="17">
        <f t="shared" si="47"/>
        <v>46266</v>
      </c>
      <c r="AC57" s="14">
        <f>--(COUNTIFS($C$5:C57,C57,$D$5:D57,D57,$G$5:G57,G57,$F$5:F57,F57)=1)</f>
        <v>0</v>
      </c>
      <c r="AD57" s="14">
        <f t="shared" si="73"/>
        <v>0</v>
      </c>
      <c r="AE57" s="14">
        <f t="shared" si="74"/>
        <v>1</v>
      </c>
      <c r="AF57" s="14">
        <f t="shared" si="48"/>
        <v>0</v>
      </c>
      <c r="AG57" s="14">
        <f>SUMIFS(Routes[Net elevation (m)],Routes[Corridor],E57,Routes[Direction],F57)</f>
        <v>5</v>
      </c>
      <c r="AH57" s="14">
        <f t="shared" si="75"/>
        <v>16500</v>
      </c>
      <c r="AI57" s="14">
        <f t="shared" si="76"/>
        <v>0.25</v>
      </c>
      <c r="AJ57" s="14">
        <f t="shared" si="77"/>
        <v>8.1</v>
      </c>
      <c r="AK57" s="14">
        <f t="shared" si="49"/>
        <v>138.2944646000696</v>
      </c>
      <c r="AL57" s="14">
        <f t="shared" si="50"/>
        <v>3.6651466666666663</v>
      </c>
      <c r="AM57" s="14">
        <f t="shared" si="51"/>
        <v>3.6651466666666663</v>
      </c>
      <c r="AN57" s="14">
        <f t="shared" si="52"/>
        <v>0.7</v>
      </c>
      <c r="AO57" s="14">
        <f t="shared" si="53"/>
        <v>2.9651466666666666</v>
      </c>
      <c r="AP57" s="14">
        <f t="shared" si="54"/>
        <v>46.48372876031182</v>
      </c>
      <c r="AQ57" s="14">
        <f t="shared" si="55"/>
        <v>4.8617499356672162</v>
      </c>
      <c r="AR57" s="14">
        <f t="shared" si="56"/>
        <v>46.436713754589412</v>
      </c>
      <c r="AS57" s="14">
        <f t="shared" si="57"/>
        <v>44.307765537182149</v>
      </c>
      <c r="AT57" s="14">
        <f t="shared" si="58"/>
        <v>49.960026400856279</v>
      </c>
      <c r="AU57" s="14">
        <f t="shared" si="78"/>
        <v>48.822469551985748</v>
      </c>
      <c r="AV57" s="14">
        <f t="shared" si="79"/>
        <v>15.4969388783122</v>
      </c>
      <c r="AW57" s="14">
        <f t="shared" si="59"/>
        <v>55.588347359407358</v>
      </c>
      <c r="AX57" s="14">
        <f t="shared" si="80"/>
        <v>0.2248125</v>
      </c>
      <c r="AY57" s="14">
        <f t="shared" si="60"/>
        <v>48.822469551985748</v>
      </c>
      <c r="AZ57" s="14">
        <f t="shared" si="81"/>
        <v>0.2248125</v>
      </c>
      <c r="BA57" s="14">
        <f t="shared" si="82"/>
        <v>40.091408481095158</v>
      </c>
      <c r="BB57" s="14">
        <f t="shared" si="61"/>
        <v>104.63562941139311</v>
      </c>
      <c r="BC57" s="14">
        <f t="shared" si="83"/>
        <v>126.16582795127886</v>
      </c>
      <c r="BD57" s="14">
        <f t="shared" si="84"/>
        <v>29.687687999999994</v>
      </c>
      <c r="BE57" s="14">
        <f t="shared" si="85"/>
        <v>0</v>
      </c>
      <c r="BF57" s="14">
        <f t="shared" si="86"/>
        <v>19.94988577427776</v>
      </c>
      <c r="BG57" s="14">
        <f t="shared" si="62"/>
        <v>135.90363017700108</v>
      </c>
      <c r="BH57" s="14" t="str">
        <f t="shared" si="87"/>
        <v/>
      </c>
      <c r="BI57" s="14">
        <f t="shared" si="88"/>
        <v>1</v>
      </c>
      <c r="BJ57" s="14">
        <f t="shared" si="63"/>
        <v>135.90363017700108</v>
      </c>
      <c r="BK57" s="14">
        <f t="shared" si="33"/>
        <v>489.25306863720391</v>
      </c>
      <c r="BL57" s="14" t="str">
        <f t="shared" si="89"/>
        <v/>
      </c>
      <c r="BM57" s="14">
        <f t="shared" si="90"/>
        <v>147.72133714891422</v>
      </c>
      <c r="BN57" s="14">
        <f t="shared" si="64"/>
        <v>0.98271200203144415</v>
      </c>
      <c r="BO57" s="14">
        <f t="shared" si="65"/>
        <v>1.0175921306881552</v>
      </c>
      <c r="BP57" s="14" t="str">
        <f t="shared" si="66"/>
        <v/>
      </c>
      <c r="BQ57" s="22">
        <f t="shared" si="67"/>
        <v>0.76992519828289741</v>
      </c>
      <c r="BR57" s="14">
        <f t="shared" si="91"/>
        <v>1403.3527029146851</v>
      </c>
      <c r="BS57" s="14">
        <f t="shared" si="92"/>
        <v>104.88214937572909</v>
      </c>
      <c r="BT57" s="14">
        <f t="shared" si="68"/>
        <v>10.14756958619426</v>
      </c>
      <c r="BU57" s="14">
        <f t="shared" si="69"/>
        <v>0.75839730591557097</v>
      </c>
      <c r="BV57" s="22" t="str">
        <f t="shared" si="70"/>
        <v/>
      </c>
      <c r="BW57" s="14" t="e">
        <f t="shared" si="71"/>
        <v>#N/A</v>
      </c>
      <c r="BX57" s="14" t="e">
        <f t="shared" si="72"/>
        <v>#N/A</v>
      </c>
    </row>
    <row r="58" spans="1:76" x14ac:dyDescent="0.25">
      <c r="A58" s="12" t="s">
        <v>509</v>
      </c>
      <c r="B58" s="12" t="s">
        <v>186</v>
      </c>
      <c r="C58" s="15">
        <v>46221</v>
      </c>
      <c r="D58" s="12" t="s">
        <v>457</v>
      </c>
      <c r="E58" s="12" t="s">
        <v>29</v>
      </c>
      <c r="F58" s="12" t="s">
        <v>52</v>
      </c>
      <c r="G58" s="16">
        <v>0.68094907407407412</v>
      </c>
      <c r="H58" s="14">
        <v>0</v>
      </c>
      <c r="I58" s="14">
        <v>23.716666666666669</v>
      </c>
      <c r="J58" s="14">
        <v>4.4333333333333336</v>
      </c>
      <c r="K58" s="14">
        <v>9.5500000000000007</v>
      </c>
      <c r="L58" s="14">
        <v>50.65</v>
      </c>
      <c r="M58" s="14">
        <v>34.233333333333327</v>
      </c>
      <c r="N58" s="14">
        <v>109.3</v>
      </c>
      <c r="O58" s="14">
        <v>0</v>
      </c>
      <c r="P58" s="14">
        <v>0.11699904226004509</v>
      </c>
      <c r="Q58" s="14">
        <v>0.95688081818818838</v>
      </c>
      <c r="R58" s="14">
        <v>0.74908888986193567</v>
      </c>
      <c r="S58" s="14">
        <v>36.712209444916184</v>
      </c>
      <c r="T58" s="14">
        <v>25.040527354235781</v>
      </c>
      <c r="U58" s="14">
        <v>74.293641117732662</v>
      </c>
      <c r="V58" s="18"/>
      <c r="W58" s="18"/>
      <c r="X58" s="18"/>
      <c r="Y58" s="18"/>
      <c r="Z58" s="18"/>
      <c r="AA58" s="14" t="str">
        <f>IF(AND(D58&lt;&gt;"EV",D58&lt;&gt;"Diesel"),"Invalid vehicle",IF(COUNTIFS(Routes[Corridor],E58,Routes[Direction],F58)=0,"Unknown route",IF(C58="","Missing date",IF(SUM(O58:U58)&lt;=0,"No distance","OK"))))</f>
        <v>OK</v>
      </c>
      <c r="AB58" s="17">
        <f t="shared" si="47"/>
        <v>46204</v>
      </c>
      <c r="AC58" s="14">
        <f>--(COUNTIFS($C$5:C58,C58,$D$5:D58,D58,$G$5:G58,G58,$F$5:F58,F58)=1)</f>
        <v>0</v>
      </c>
      <c r="AD58" s="14">
        <f t="shared" si="73"/>
        <v>0</v>
      </c>
      <c r="AE58" s="14">
        <f t="shared" si="74"/>
        <v>1</v>
      </c>
      <c r="AF58" s="14">
        <f t="shared" si="48"/>
        <v>0</v>
      </c>
      <c r="AG58" s="14">
        <f>SUMIFS(Routes[Net elevation (m)],Routes[Corridor],E58,Routes[Direction],F58)</f>
        <v>5</v>
      </c>
      <c r="AH58" s="14">
        <f t="shared" si="75"/>
        <v>14500</v>
      </c>
      <c r="AI58" s="14">
        <f t="shared" si="76"/>
        <v>0.25</v>
      </c>
      <c r="AJ58" s="14">
        <f t="shared" si="77"/>
        <v>8.1</v>
      </c>
      <c r="AK58" s="14">
        <f t="shared" si="49"/>
        <v>137.8693466671948</v>
      </c>
      <c r="AL58" s="14">
        <f t="shared" si="50"/>
        <v>3.8647222222222219</v>
      </c>
      <c r="AM58" s="14">
        <f t="shared" si="51"/>
        <v>3.8647222222222219</v>
      </c>
      <c r="AN58" s="14">
        <f t="shared" si="52"/>
        <v>0.46916666666666668</v>
      </c>
      <c r="AO58" s="14">
        <f t="shared" si="53"/>
        <v>3.3955555555555557</v>
      </c>
      <c r="AP58" s="14">
        <f t="shared" si="54"/>
        <v>40.286623077903108</v>
      </c>
      <c r="AQ58" s="14">
        <f t="shared" si="55"/>
        <v>4.7063176326404328</v>
      </c>
      <c r="AR58" s="14">
        <f t="shared" si="56"/>
        <v>43.489290556662809</v>
      </c>
      <c r="AS58" s="14">
        <f t="shared" si="57"/>
        <v>43.887973941211698</v>
      </c>
      <c r="AT58" s="14">
        <f t="shared" si="58"/>
        <v>40.783334556852331</v>
      </c>
      <c r="AU58" s="14">
        <f t="shared" si="78"/>
        <v>44.2170931193277</v>
      </c>
      <c r="AV58" s="14">
        <f t="shared" si="79"/>
        <v>10.176816647892545</v>
      </c>
      <c r="AW58" s="14">
        <f t="shared" si="59"/>
        <v>36.96715534383921</v>
      </c>
      <c r="AX58" s="14">
        <f t="shared" si="80"/>
        <v>0.1975625</v>
      </c>
      <c r="AY58" s="14">
        <f t="shared" si="60"/>
        <v>44.2170931193277</v>
      </c>
      <c r="AZ58" s="14">
        <f t="shared" si="81"/>
        <v>0.1975625</v>
      </c>
      <c r="BA58" s="14">
        <f t="shared" si="82"/>
        <v>26.790338695946666</v>
      </c>
      <c r="BB58" s="14">
        <f t="shared" si="61"/>
        <v>81.381810963166913</v>
      </c>
      <c r="BC58" s="14">
        <f t="shared" si="83"/>
        <v>252.7385433638724</v>
      </c>
      <c r="BD58" s="14">
        <f t="shared" si="84"/>
        <v>78.582857142857151</v>
      </c>
      <c r="BE58" s="14">
        <f t="shared" si="85"/>
        <v>11.696585648148147</v>
      </c>
      <c r="BF58" s="14">
        <f t="shared" si="86"/>
        <v>0</v>
      </c>
      <c r="BG58" s="14">
        <f t="shared" si="62"/>
        <v>343.01798615487769</v>
      </c>
      <c r="BH58" s="14" t="str">
        <f t="shared" si="87"/>
        <v/>
      </c>
      <c r="BI58" s="14">
        <f t="shared" si="88"/>
        <v>1</v>
      </c>
      <c r="BJ58" s="14">
        <f t="shared" si="63"/>
        <v>343.01798615487769</v>
      </c>
      <c r="BK58" s="14">
        <f t="shared" si="33"/>
        <v>1234.8647501575597</v>
      </c>
      <c r="BL58" s="14">
        <f t="shared" si="89"/>
        <v>34.397346801046233</v>
      </c>
      <c r="BM58" s="14" t="str">
        <f t="shared" si="90"/>
        <v/>
      </c>
      <c r="BN58" s="14">
        <f t="shared" si="64"/>
        <v>2.4879931213636248</v>
      </c>
      <c r="BO58" s="14">
        <f t="shared" si="65"/>
        <v>0.40193037167720047</v>
      </c>
      <c r="BP58" s="14">
        <f t="shared" si="66"/>
        <v>4.0081389842254156</v>
      </c>
      <c r="BQ58" s="22">
        <f t="shared" si="67"/>
        <v>0.23725231401254226</v>
      </c>
      <c r="BR58" s="14">
        <f t="shared" si="91"/>
        <v>3164.5559056962534</v>
      </c>
      <c r="BS58" s="14">
        <f t="shared" si="92"/>
        <v>92.184889426803906</v>
      </c>
      <c r="BT58" s="14">
        <f t="shared" si="68"/>
        <v>22.953295871744643</v>
      </c>
      <c r="BU58" s="14">
        <f t="shared" si="69"/>
        <v>0.66863948843777876</v>
      </c>
      <c r="BV58" s="22" t="str">
        <f t="shared" si="70"/>
        <v/>
      </c>
      <c r="BW58" s="14" t="e">
        <f t="shared" si="71"/>
        <v>#N/A</v>
      </c>
      <c r="BX58" s="14" t="e">
        <f t="shared" si="72"/>
        <v>#N/A</v>
      </c>
    </row>
    <row r="59" spans="1:76" x14ac:dyDescent="0.25">
      <c r="A59" s="12" t="s">
        <v>510</v>
      </c>
      <c r="B59" s="12" t="s">
        <v>188</v>
      </c>
      <c r="C59" s="15">
        <v>46222</v>
      </c>
      <c r="D59" s="12" t="s">
        <v>300</v>
      </c>
      <c r="E59" s="12" t="s">
        <v>29</v>
      </c>
      <c r="F59" s="12" t="s">
        <v>41</v>
      </c>
      <c r="G59" s="16">
        <v>0.38791666666666669</v>
      </c>
      <c r="H59" s="14">
        <v>0</v>
      </c>
      <c r="I59" s="14">
        <v>8.9333333333333336</v>
      </c>
      <c r="J59" s="14">
        <v>5.4188666666666672</v>
      </c>
      <c r="K59" s="14">
        <v>0</v>
      </c>
      <c r="L59" s="14">
        <v>46.883333333333333</v>
      </c>
      <c r="M59" s="14">
        <v>35.666666666666657</v>
      </c>
      <c r="N59" s="14">
        <v>98.5</v>
      </c>
      <c r="O59" s="14">
        <v>0</v>
      </c>
      <c r="P59" s="14">
        <v>0.25917593164792052</v>
      </c>
      <c r="Q59" s="14">
        <v>0.70863313939923567</v>
      </c>
      <c r="R59" s="14">
        <v>0</v>
      </c>
      <c r="S59" s="14">
        <v>37.603304668082593</v>
      </c>
      <c r="T59" s="14">
        <v>27.74280476419689</v>
      </c>
      <c r="U59" s="14">
        <v>79.592523770954102</v>
      </c>
      <c r="V59" s="18"/>
      <c r="W59" s="18"/>
      <c r="X59" s="18"/>
      <c r="Y59" s="18"/>
      <c r="Z59" s="18"/>
      <c r="AA59" s="14" t="str">
        <f>IF(AND(D59&lt;&gt;"EV",D59&lt;&gt;"Diesel"),"Invalid vehicle",IF(COUNTIFS(Routes[Corridor],E59,Routes[Direction],F59)=0,"Unknown route",IF(C59="","Missing date",IF(SUM(O59:U59)&lt;=0,"No distance","OK"))))</f>
        <v>OK</v>
      </c>
      <c r="AB59" s="17">
        <f t="shared" si="47"/>
        <v>46204</v>
      </c>
      <c r="AC59" s="14">
        <f>--(COUNTIFS($C$5:C59,C59,$D$5:D59,D59,$G$5:G59,G59,$F$5:F59,F59)=1)</f>
        <v>1</v>
      </c>
      <c r="AD59" s="14">
        <f t="shared" si="73"/>
        <v>0</v>
      </c>
      <c r="AE59" s="14">
        <f t="shared" si="74"/>
        <v>1</v>
      </c>
      <c r="AF59" s="14">
        <f t="shared" si="48"/>
        <v>0</v>
      </c>
      <c r="AG59" s="14">
        <f>SUMIFS(Routes[Net elevation (m)],Routes[Corridor],E59,Routes[Direction],F59)</f>
        <v>-5</v>
      </c>
      <c r="AH59" s="14">
        <f t="shared" si="75"/>
        <v>16500</v>
      </c>
      <c r="AI59" s="14">
        <f t="shared" si="76"/>
        <v>0.25</v>
      </c>
      <c r="AJ59" s="14">
        <f t="shared" si="77"/>
        <v>8.1</v>
      </c>
      <c r="AK59" s="14">
        <f t="shared" si="49"/>
        <v>145.90644227428075</v>
      </c>
      <c r="AL59" s="14">
        <f t="shared" si="50"/>
        <v>3.2567033333333333</v>
      </c>
      <c r="AM59" s="14">
        <f t="shared" si="51"/>
        <v>3.2567033333333333</v>
      </c>
      <c r="AN59" s="14">
        <f t="shared" si="52"/>
        <v>0.23920333333333332</v>
      </c>
      <c r="AO59" s="14">
        <f t="shared" si="53"/>
        <v>3.0174999999999996</v>
      </c>
      <c r="AP59" s="14">
        <f t="shared" si="54"/>
        <v>48.032687059895146</v>
      </c>
      <c r="AQ59" s="14">
        <f t="shared" si="55"/>
        <v>0</v>
      </c>
      <c r="AR59" s="14">
        <f t="shared" si="56"/>
        <v>48.123674655207012</v>
      </c>
      <c r="AS59" s="14">
        <f t="shared" si="57"/>
        <v>46.67013885565833</v>
      </c>
      <c r="AT59" s="14">
        <f t="shared" si="58"/>
        <v>48.482755596520271</v>
      </c>
      <c r="AU59" s="14">
        <f t="shared" si="78"/>
        <v>55.67032122349999</v>
      </c>
      <c r="AV59" s="14">
        <f t="shared" si="79"/>
        <v>12.804568405053221</v>
      </c>
      <c r="AW59" s="14">
        <f t="shared" si="59"/>
        <v>43.08711993217797</v>
      </c>
      <c r="AX59" s="14">
        <f t="shared" si="80"/>
        <v>-0.2248125</v>
      </c>
      <c r="AY59" s="14">
        <f t="shared" si="60"/>
        <v>55.67032122349999</v>
      </c>
      <c r="AZ59" s="14">
        <f t="shared" si="81"/>
        <v>-0.11240625</v>
      </c>
      <c r="BA59" s="14">
        <f t="shared" si="82"/>
        <v>30.394957777124748</v>
      </c>
      <c r="BB59" s="14">
        <f t="shared" si="61"/>
        <v>98.645034905677946</v>
      </c>
      <c r="BC59" s="14">
        <f t="shared" si="83"/>
        <v>118.94258745484773</v>
      </c>
      <c r="BD59" s="14">
        <f t="shared" si="84"/>
        <v>26.379296999999998</v>
      </c>
      <c r="BE59" s="14">
        <f t="shared" si="85"/>
        <v>0</v>
      </c>
      <c r="BF59" s="14">
        <f t="shared" si="86"/>
        <v>15.124834939475043</v>
      </c>
      <c r="BG59" s="14">
        <f t="shared" si="62"/>
        <v>130.19704951537267</v>
      </c>
      <c r="BH59" s="14" t="str">
        <f t="shared" si="87"/>
        <v/>
      </c>
      <c r="BI59" s="14">
        <f t="shared" si="88"/>
        <v>1</v>
      </c>
      <c r="BJ59" s="14">
        <f t="shared" si="63"/>
        <v>130.19704951537267</v>
      </c>
      <c r="BK59" s="14">
        <f t="shared" si="33"/>
        <v>468.70937825534162</v>
      </c>
      <c r="BL59" s="14" t="str">
        <f t="shared" si="89"/>
        <v/>
      </c>
      <c r="BM59" s="14">
        <f t="shared" si="90"/>
        <v>141.51853208192682</v>
      </c>
      <c r="BN59" s="14">
        <f t="shared" si="64"/>
        <v>0.89233242539505597</v>
      </c>
      <c r="BO59" s="14">
        <f t="shared" si="65"/>
        <v>1.1206585926285006</v>
      </c>
      <c r="BP59" s="14" t="str">
        <f t="shared" si="66"/>
        <v/>
      </c>
      <c r="BQ59" s="22">
        <f t="shared" si="67"/>
        <v>0.75765952663950886</v>
      </c>
      <c r="BR59" s="14">
        <f t="shared" si="91"/>
        <v>1344.4260547783049</v>
      </c>
      <c r="BS59" s="14">
        <f t="shared" si="92"/>
        <v>100.47815777816804</v>
      </c>
      <c r="BT59" s="14">
        <f t="shared" si="68"/>
        <v>9.2143022187532964</v>
      </c>
      <c r="BU59" s="14">
        <f t="shared" si="69"/>
        <v>0.688647850033141</v>
      </c>
      <c r="BV59" s="22" t="str">
        <f t="shared" si="70"/>
        <v/>
      </c>
      <c r="BW59" s="14" t="e">
        <f t="shared" si="71"/>
        <v>#N/A</v>
      </c>
      <c r="BX59" s="14" t="e">
        <f t="shared" si="72"/>
        <v>#N/A</v>
      </c>
    </row>
    <row r="60" spans="1:76" x14ac:dyDescent="0.25">
      <c r="A60" s="12" t="s">
        <v>511</v>
      </c>
      <c r="B60" s="12" t="s">
        <v>188</v>
      </c>
      <c r="C60" s="15">
        <v>46222</v>
      </c>
      <c r="D60" s="12" t="s">
        <v>457</v>
      </c>
      <c r="E60" s="12" t="s">
        <v>29</v>
      </c>
      <c r="F60" s="12" t="s">
        <v>41</v>
      </c>
      <c r="G60" s="16">
        <v>0.46440972222222221</v>
      </c>
      <c r="H60" s="14">
        <v>0</v>
      </c>
      <c r="I60" s="14">
        <v>71.083333333333329</v>
      </c>
      <c r="J60" s="14">
        <v>4.05</v>
      </c>
      <c r="K60" s="14">
        <v>9.2465500000000009</v>
      </c>
      <c r="L60" s="14">
        <v>38.68333333333333</v>
      </c>
      <c r="M60" s="14">
        <v>26.81666666666667</v>
      </c>
      <c r="N60" s="14">
        <v>116.98333333333331</v>
      </c>
      <c r="O60" s="14">
        <v>0</v>
      </c>
      <c r="P60" s="14">
        <v>0.54905123843358739</v>
      </c>
      <c r="Q60" s="14">
        <v>0.55256306869115623</v>
      </c>
      <c r="R60" s="14">
        <v>0.82406643556007364</v>
      </c>
      <c r="S60" s="14">
        <v>27.609909695058061</v>
      </c>
      <c r="T60" s="14">
        <v>19.892928271907479</v>
      </c>
      <c r="U60" s="14">
        <v>96.565811989808935</v>
      </c>
      <c r="V60" s="18"/>
      <c r="W60" s="18"/>
      <c r="X60" s="18"/>
      <c r="Y60" s="18"/>
      <c r="Z60" s="18"/>
      <c r="AA60" s="14" t="str">
        <f>IF(AND(D60&lt;&gt;"EV",D60&lt;&gt;"Diesel"),"Invalid vehicle",IF(COUNTIFS(Routes[Corridor],E60,Routes[Direction],F60)=0,"Unknown route",IF(C60="","Missing date",IF(SUM(O60:U60)&lt;=0,"No distance","OK"))))</f>
        <v>OK</v>
      </c>
      <c r="AB60" s="17">
        <f t="shared" si="47"/>
        <v>46204</v>
      </c>
      <c r="AC60" s="14">
        <f>--(COUNTIFS($C$5:C60,C60,$D$5:D60,D60,$G$5:G60,G60,$F$5:F60,F60)=1)</f>
        <v>0</v>
      </c>
      <c r="AD60" s="14">
        <f t="shared" si="73"/>
        <v>0</v>
      </c>
      <c r="AE60" s="14">
        <f t="shared" si="74"/>
        <v>1</v>
      </c>
      <c r="AF60" s="14">
        <f t="shared" si="48"/>
        <v>0</v>
      </c>
      <c r="AG60" s="14">
        <f>SUMIFS(Routes[Net elevation (m)],Routes[Corridor],E60,Routes[Direction],F60)</f>
        <v>-5</v>
      </c>
      <c r="AH60" s="14">
        <f t="shared" si="75"/>
        <v>14500</v>
      </c>
      <c r="AI60" s="14">
        <f t="shared" si="76"/>
        <v>0.25</v>
      </c>
      <c r="AJ60" s="14">
        <f t="shared" si="77"/>
        <v>8.1</v>
      </c>
      <c r="AK60" s="14">
        <f t="shared" si="49"/>
        <v>145.99433069945928</v>
      </c>
      <c r="AL60" s="14">
        <f t="shared" si="50"/>
        <v>4.4477202777777771</v>
      </c>
      <c r="AM60" s="14">
        <f t="shared" si="51"/>
        <v>4.4477202777777771</v>
      </c>
      <c r="AN60" s="14">
        <f t="shared" si="52"/>
        <v>1.2522222222222221</v>
      </c>
      <c r="AO60" s="14">
        <f t="shared" si="53"/>
        <v>3.195498055555555</v>
      </c>
      <c r="AP60" s="14">
        <f t="shared" si="54"/>
        <v>45.342764687473462</v>
      </c>
      <c r="AQ60" s="14">
        <f t="shared" si="55"/>
        <v>5.3472901929481171</v>
      </c>
      <c r="AR60" s="14">
        <f t="shared" si="56"/>
        <v>42.824504481778987</v>
      </c>
      <c r="AS60" s="14">
        <f t="shared" si="57"/>
        <v>44.508727022291438</v>
      </c>
      <c r="AT60" s="14">
        <f t="shared" si="58"/>
        <v>49.527984493989493</v>
      </c>
      <c r="AU60" s="14">
        <f t="shared" si="78"/>
        <v>54.258553845798907</v>
      </c>
      <c r="AV60" s="14">
        <f t="shared" si="79"/>
        <v>8.1583353560627749</v>
      </c>
      <c r="AW60" s="14">
        <f t="shared" si="59"/>
        <v>27.801645179051519</v>
      </c>
      <c r="AX60" s="14">
        <f t="shared" si="80"/>
        <v>-0.1975625</v>
      </c>
      <c r="AY60" s="14">
        <f t="shared" si="60"/>
        <v>54.258553845798907</v>
      </c>
      <c r="AZ60" s="14">
        <f t="shared" si="81"/>
        <v>-9.8781250000000001E-2</v>
      </c>
      <c r="BA60" s="14">
        <f t="shared" si="82"/>
        <v>19.742091072988742</v>
      </c>
      <c r="BB60" s="14">
        <f t="shared" si="61"/>
        <v>81.961417774850418</v>
      </c>
      <c r="BC60" s="14">
        <f t="shared" si="83"/>
        <v>254.53856451816898</v>
      </c>
      <c r="BD60" s="14">
        <f t="shared" si="84"/>
        <v>73.952954999999989</v>
      </c>
      <c r="BE60" s="14">
        <f t="shared" si="85"/>
        <v>31.218595679012342</v>
      </c>
      <c r="BF60" s="14">
        <f t="shared" si="86"/>
        <v>0</v>
      </c>
      <c r="BG60" s="14">
        <f t="shared" si="62"/>
        <v>359.71011519718132</v>
      </c>
      <c r="BH60" s="14" t="str">
        <f t="shared" si="87"/>
        <v/>
      </c>
      <c r="BI60" s="14">
        <f t="shared" si="88"/>
        <v>1</v>
      </c>
      <c r="BJ60" s="14">
        <f t="shared" si="63"/>
        <v>359.71011519718132</v>
      </c>
      <c r="BK60" s="14">
        <f t="shared" si="33"/>
        <v>1294.9564147098529</v>
      </c>
      <c r="BL60" s="14">
        <f t="shared" si="89"/>
        <v>36.071209323394228</v>
      </c>
      <c r="BM60" s="14" t="str">
        <f t="shared" si="90"/>
        <v/>
      </c>
      <c r="BN60" s="14">
        <f t="shared" si="64"/>
        <v>2.4638635861667302</v>
      </c>
      <c r="BO60" s="14">
        <f t="shared" si="65"/>
        <v>0.40586662573953464</v>
      </c>
      <c r="BP60" s="14">
        <f t="shared" si="66"/>
        <v>4.0473921844581371</v>
      </c>
      <c r="BQ60" s="22">
        <f t="shared" si="67"/>
        <v>0.22785408113953606</v>
      </c>
      <c r="BR60" s="14">
        <f t="shared" si="91"/>
        <v>3318.5512577522691</v>
      </c>
      <c r="BS60" s="14">
        <f t="shared" si="92"/>
        <v>96.670840986696533</v>
      </c>
      <c r="BT60" s="14">
        <f t="shared" si="68"/>
        <v>22.730685786585546</v>
      </c>
      <c r="BU60" s="14">
        <f t="shared" si="69"/>
        <v>0.66215475987010075</v>
      </c>
      <c r="BV60" s="22" t="str">
        <f t="shared" si="70"/>
        <v/>
      </c>
      <c r="BW60" s="14" t="e">
        <f t="shared" si="71"/>
        <v>#N/A</v>
      </c>
      <c r="BX60" s="14" t="e">
        <f t="shared" si="72"/>
        <v>#N/A</v>
      </c>
    </row>
    <row r="61" spans="1:76" x14ac:dyDescent="0.25">
      <c r="A61" s="12" t="s">
        <v>512</v>
      </c>
      <c r="B61" s="12" t="s">
        <v>192</v>
      </c>
      <c r="C61" s="15">
        <v>46222</v>
      </c>
      <c r="D61" s="12" t="s">
        <v>300</v>
      </c>
      <c r="E61" s="12" t="s">
        <v>29</v>
      </c>
      <c r="F61" s="12" t="s">
        <v>41</v>
      </c>
      <c r="G61" s="16">
        <v>0.3823611111111111</v>
      </c>
      <c r="H61" s="14">
        <v>0</v>
      </c>
      <c r="I61" s="14">
        <v>12.03333333333333</v>
      </c>
      <c r="J61" s="14">
        <v>4.916666666666667</v>
      </c>
      <c r="K61" s="14">
        <v>0</v>
      </c>
      <c r="L61" s="14">
        <v>47.070950000000003</v>
      </c>
      <c r="M61" s="14">
        <v>35.883333333333333</v>
      </c>
      <c r="N61" s="14">
        <v>102.55</v>
      </c>
      <c r="O61" s="14">
        <v>0</v>
      </c>
      <c r="P61" s="14">
        <v>0.37366038708160421</v>
      </c>
      <c r="Q61" s="14">
        <v>0.81249600997082738</v>
      </c>
      <c r="R61" s="14">
        <v>0</v>
      </c>
      <c r="S61" s="14">
        <v>37.762458193898382</v>
      </c>
      <c r="T61" s="14">
        <v>27.857434291214389</v>
      </c>
      <c r="U61" s="14">
        <v>81.812407450945699</v>
      </c>
      <c r="V61" s="18"/>
      <c r="W61" s="18"/>
      <c r="X61" s="18"/>
      <c r="Y61" s="18"/>
      <c r="Z61" s="18"/>
      <c r="AA61" s="14" t="str">
        <f>IF(AND(D61&lt;&gt;"EV",D61&lt;&gt;"Diesel"),"Invalid vehicle",IF(COUNTIFS(Routes[Corridor],E61,Routes[Direction],F61)=0,"Unknown route",IF(C61="","Missing date",IF(SUM(O61:U61)&lt;=0,"No distance","OK"))))</f>
        <v>OK</v>
      </c>
      <c r="AB61" s="17">
        <f t="shared" si="47"/>
        <v>46204</v>
      </c>
      <c r="AC61" s="14">
        <f>--(COUNTIFS($C$5:C61,C61,$D$5:D61,D61,$G$5:G61,G61,$F$5:F61,F61)=1)</f>
        <v>0</v>
      </c>
      <c r="AD61" s="14">
        <f t="shared" si="73"/>
        <v>0</v>
      </c>
      <c r="AE61" s="14">
        <f t="shared" si="74"/>
        <v>1</v>
      </c>
      <c r="AF61" s="14">
        <f t="shared" si="48"/>
        <v>0</v>
      </c>
      <c r="AG61" s="14">
        <f>SUMIFS(Routes[Net elevation (m)],Routes[Corridor],E61,Routes[Direction],F61)</f>
        <v>-5</v>
      </c>
      <c r="AH61" s="14">
        <f t="shared" si="75"/>
        <v>16500</v>
      </c>
      <c r="AI61" s="14">
        <f t="shared" si="76"/>
        <v>0.25</v>
      </c>
      <c r="AJ61" s="14">
        <f t="shared" si="77"/>
        <v>8.1</v>
      </c>
      <c r="AK61" s="14">
        <f t="shared" si="49"/>
        <v>148.61845633311088</v>
      </c>
      <c r="AL61" s="14">
        <f t="shared" si="50"/>
        <v>3.3742380555555553</v>
      </c>
      <c r="AM61" s="14">
        <f t="shared" si="51"/>
        <v>3.3742380555555553</v>
      </c>
      <c r="AN61" s="14">
        <f t="shared" si="52"/>
        <v>0.28249999999999992</v>
      </c>
      <c r="AO61" s="14">
        <f t="shared" si="53"/>
        <v>3.0917380555555551</v>
      </c>
      <c r="AP61" s="14">
        <f t="shared" si="54"/>
        <v>47.685896180996593</v>
      </c>
      <c r="AQ61" s="14">
        <f t="shared" si="55"/>
        <v>0</v>
      </c>
      <c r="AR61" s="14">
        <f t="shared" si="56"/>
        <v>48.134730478860163</v>
      </c>
      <c r="AS61" s="14">
        <f t="shared" si="57"/>
        <v>46.580010891022667</v>
      </c>
      <c r="AT61" s="14">
        <f t="shared" si="58"/>
        <v>47.866840049310014</v>
      </c>
      <c r="AU61" s="14">
        <f t="shared" si="78"/>
        <v>56.53983403552165</v>
      </c>
      <c r="AV61" s="14">
        <f t="shared" si="79"/>
        <v>12.841694611781733</v>
      </c>
      <c r="AW61" s="14">
        <f t="shared" si="59"/>
        <v>43.269483347175232</v>
      </c>
      <c r="AX61" s="14">
        <f t="shared" si="80"/>
        <v>-0.2248125</v>
      </c>
      <c r="AY61" s="14">
        <f t="shared" si="60"/>
        <v>56.53983403552165</v>
      </c>
      <c r="AZ61" s="14">
        <f t="shared" si="81"/>
        <v>-0.11240625</v>
      </c>
      <c r="BA61" s="14">
        <f t="shared" si="82"/>
        <v>30.540194985393498</v>
      </c>
      <c r="BB61" s="14">
        <f t="shared" si="61"/>
        <v>99.696911132696883</v>
      </c>
      <c r="BC61" s="14">
        <f t="shared" si="83"/>
        <v>120.21090146825453</v>
      </c>
      <c r="BD61" s="14">
        <f t="shared" si="84"/>
        <v>27.331328249999999</v>
      </c>
      <c r="BE61" s="14">
        <f t="shared" si="85"/>
        <v>0</v>
      </c>
      <c r="BF61" s="14">
        <f t="shared" si="86"/>
        <v>15.197106426681657</v>
      </c>
      <c r="BG61" s="14">
        <f t="shared" si="62"/>
        <v>132.34512329157286</v>
      </c>
      <c r="BH61" s="14" t="str">
        <f t="shared" si="87"/>
        <v/>
      </c>
      <c r="BI61" s="14">
        <f t="shared" si="88"/>
        <v>1</v>
      </c>
      <c r="BJ61" s="14">
        <f t="shared" si="63"/>
        <v>132.34512329157286</v>
      </c>
      <c r="BK61" s="14">
        <f t="shared" si="33"/>
        <v>476.44244384966231</v>
      </c>
      <c r="BL61" s="14" t="str">
        <f t="shared" si="89"/>
        <v/>
      </c>
      <c r="BM61" s="14">
        <f t="shared" si="90"/>
        <v>143.85339488214441</v>
      </c>
      <c r="BN61" s="14">
        <f t="shared" si="64"/>
        <v>0.89050261022047461</v>
      </c>
      <c r="BO61" s="14">
        <f t="shared" si="65"/>
        <v>1.1229613350065482</v>
      </c>
      <c r="BP61" s="14" t="str">
        <f t="shared" si="66"/>
        <v/>
      </c>
      <c r="BQ61" s="22">
        <f t="shared" si="67"/>
        <v>0.75331004764755949</v>
      </c>
      <c r="BR61" s="14">
        <f t="shared" si="91"/>
        <v>1366.607251380372</v>
      </c>
      <c r="BS61" s="14">
        <f t="shared" si="92"/>
        <v>102.13591036632253</v>
      </c>
      <c r="BT61" s="14">
        <f t="shared" si="68"/>
        <v>9.1954073881462044</v>
      </c>
      <c r="BU61" s="14">
        <f t="shared" si="69"/>
        <v>0.68723571006145323</v>
      </c>
      <c r="BV61" s="22" t="str">
        <f t="shared" si="70"/>
        <v/>
      </c>
      <c r="BW61" s="14" t="e">
        <f t="shared" si="71"/>
        <v>#N/A</v>
      </c>
      <c r="BX61" s="14" t="e">
        <f t="shared" si="72"/>
        <v>#N/A</v>
      </c>
    </row>
    <row r="62" spans="1:76" x14ac:dyDescent="0.25">
      <c r="A62" s="12" t="s">
        <v>513</v>
      </c>
      <c r="B62" s="12" t="s">
        <v>192</v>
      </c>
      <c r="C62" s="15">
        <v>46290</v>
      </c>
      <c r="D62" s="12" t="s">
        <v>457</v>
      </c>
      <c r="E62" s="12" t="s">
        <v>29</v>
      </c>
      <c r="F62" s="12" t="s">
        <v>41</v>
      </c>
      <c r="G62" s="16">
        <v>0.61526620370370366</v>
      </c>
      <c r="H62" s="14">
        <v>0</v>
      </c>
      <c r="I62" s="14">
        <v>48.18333333333333</v>
      </c>
      <c r="J62" s="14">
        <v>13.66666666666667</v>
      </c>
      <c r="K62" s="14">
        <v>8.5500000000000007</v>
      </c>
      <c r="L62" s="14">
        <v>47.504249999999999</v>
      </c>
      <c r="M62" s="14">
        <v>34.783333333333331</v>
      </c>
      <c r="N62" s="14">
        <v>114.05</v>
      </c>
      <c r="O62" s="14">
        <v>0</v>
      </c>
      <c r="P62" s="14">
        <v>0.65269298090049266</v>
      </c>
      <c r="Q62" s="14">
        <v>1.2528480982183561</v>
      </c>
      <c r="R62" s="14">
        <v>1.149895932972568</v>
      </c>
      <c r="S62" s="14">
        <v>30.80621122533811</v>
      </c>
      <c r="T62" s="14">
        <v>23.37216669639708</v>
      </c>
      <c r="U62" s="14">
        <v>91.318408228731826</v>
      </c>
      <c r="V62" s="18"/>
      <c r="W62" s="18"/>
      <c r="X62" s="18"/>
      <c r="Y62" s="18"/>
      <c r="Z62" s="18"/>
      <c r="AA62" s="14" t="str">
        <f>IF(AND(D62&lt;&gt;"EV",D62&lt;&gt;"Diesel"),"Invalid vehicle",IF(COUNTIFS(Routes[Corridor],E62,Routes[Direction],F62)=0,"Unknown route",IF(C62="","Missing date",IF(SUM(O62:U62)&lt;=0,"No distance","OK"))))</f>
        <v>OK</v>
      </c>
      <c r="AB62" s="17">
        <f t="shared" si="47"/>
        <v>46266</v>
      </c>
      <c r="AC62" s="14">
        <f>--(COUNTIFS($C$5:C62,C62,$D$5:D62,D62,$G$5:G62,G62,$F$5:F62,F62)=1)</f>
        <v>1</v>
      </c>
      <c r="AD62" s="14">
        <f t="shared" si="73"/>
        <v>0</v>
      </c>
      <c r="AE62" s="14">
        <f t="shared" si="74"/>
        <v>1</v>
      </c>
      <c r="AF62" s="14">
        <f t="shared" si="48"/>
        <v>0</v>
      </c>
      <c r="AG62" s="14">
        <f>SUMIFS(Routes[Net elevation (m)],Routes[Corridor],E62,Routes[Direction],F62)</f>
        <v>-5</v>
      </c>
      <c r="AH62" s="14">
        <f t="shared" si="75"/>
        <v>14500</v>
      </c>
      <c r="AI62" s="14">
        <f t="shared" si="76"/>
        <v>0.25</v>
      </c>
      <c r="AJ62" s="14">
        <f t="shared" si="77"/>
        <v>8.1</v>
      </c>
      <c r="AK62" s="14">
        <f t="shared" si="49"/>
        <v>148.55222316255845</v>
      </c>
      <c r="AL62" s="14">
        <f t="shared" si="50"/>
        <v>4.4456263888888889</v>
      </c>
      <c r="AM62" s="14">
        <f t="shared" si="51"/>
        <v>4.4456263888888889</v>
      </c>
      <c r="AN62" s="14">
        <f t="shared" si="52"/>
        <v>1.0308333333333333</v>
      </c>
      <c r="AO62" s="14">
        <f t="shared" si="53"/>
        <v>3.4147930555555557</v>
      </c>
      <c r="AP62" s="14">
        <f t="shared" si="54"/>
        <v>42.944529784860279</v>
      </c>
      <c r="AQ62" s="14">
        <f t="shared" si="55"/>
        <v>8.0694451436671422</v>
      </c>
      <c r="AR62" s="14">
        <f t="shared" si="56"/>
        <v>38.909627528490326</v>
      </c>
      <c r="AS62" s="14">
        <f t="shared" si="57"/>
        <v>40.316147631542648</v>
      </c>
      <c r="AT62" s="14">
        <f t="shared" si="58"/>
        <v>48.041249396965448</v>
      </c>
      <c r="AU62" s="14">
        <f t="shared" si="78"/>
        <v>51.977432190745958</v>
      </c>
      <c r="AV62" s="14">
        <f t="shared" si="79"/>
        <v>9.0249725450748635</v>
      </c>
      <c r="AW62" s="14">
        <f t="shared" si="59"/>
        <v>31.020143247736293</v>
      </c>
      <c r="AX62" s="14">
        <f t="shared" si="80"/>
        <v>-0.1975625</v>
      </c>
      <c r="AY62" s="14">
        <f t="shared" si="60"/>
        <v>51.977432190745958</v>
      </c>
      <c r="AZ62" s="14">
        <f t="shared" si="81"/>
        <v>-9.8781250000000001E-2</v>
      </c>
      <c r="BA62" s="14">
        <f t="shared" si="82"/>
        <v>22.093951952661428</v>
      </c>
      <c r="BB62" s="14">
        <f t="shared" si="61"/>
        <v>82.898794188482242</v>
      </c>
      <c r="BC62" s="14">
        <f t="shared" si="83"/>
        <v>257.44967139280197</v>
      </c>
      <c r="BD62" s="14">
        <f t="shared" si="84"/>
        <v>79.028067857142858</v>
      </c>
      <c r="BE62" s="14">
        <f t="shared" si="85"/>
        <v>25.699247685185185</v>
      </c>
      <c r="BF62" s="14">
        <f t="shared" si="86"/>
        <v>0</v>
      </c>
      <c r="BG62" s="14">
        <f t="shared" si="62"/>
        <v>362.17698693513</v>
      </c>
      <c r="BH62" s="14" t="str">
        <f t="shared" si="87"/>
        <v/>
      </c>
      <c r="BI62" s="14">
        <f t="shared" si="88"/>
        <v>1</v>
      </c>
      <c r="BJ62" s="14">
        <f t="shared" si="63"/>
        <v>362.17698693513</v>
      </c>
      <c r="BK62" s="14">
        <f t="shared" si="33"/>
        <v>1303.837152966468</v>
      </c>
      <c r="BL62" s="14">
        <f t="shared" si="89"/>
        <v>36.318583648091035</v>
      </c>
      <c r="BM62" s="14" t="str">
        <f t="shared" si="90"/>
        <v/>
      </c>
      <c r="BN62" s="14">
        <f t="shared" si="64"/>
        <v>2.4380448789299183</v>
      </c>
      <c r="BO62" s="14">
        <f t="shared" si="65"/>
        <v>0.41016472200417814</v>
      </c>
      <c r="BP62" s="14">
        <f t="shared" si="66"/>
        <v>4.0902537555416645</v>
      </c>
      <c r="BQ62" s="22">
        <f t="shared" si="67"/>
        <v>0.22889028618301016</v>
      </c>
      <c r="BR62" s="14">
        <f t="shared" si="91"/>
        <v>3341.3096956243753</v>
      </c>
      <c r="BS62" s="14">
        <f t="shared" si="92"/>
        <v>97.333804176883987</v>
      </c>
      <c r="BT62" s="14">
        <f t="shared" si="68"/>
        <v>22.492492030684932</v>
      </c>
      <c r="BU62" s="14">
        <f t="shared" si="69"/>
        <v>0.65521607219821332</v>
      </c>
      <c r="BV62" s="22" t="str">
        <f t="shared" si="70"/>
        <v/>
      </c>
      <c r="BW62" s="14" t="e">
        <f t="shared" si="71"/>
        <v>#N/A</v>
      </c>
      <c r="BX62" s="14" t="e">
        <f t="shared" si="72"/>
        <v>#N/A</v>
      </c>
    </row>
    <row r="63" spans="1:76" x14ac:dyDescent="0.25">
      <c r="A63" s="12" t="s">
        <v>514</v>
      </c>
      <c r="B63" s="12" t="s">
        <v>194</v>
      </c>
      <c r="C63" s="15">
        <v>46290</v>
      </c>
      <c r="D63" s="12" t="s">
        <v>300</v>
      </c>
      <c r="E63" s="12" t="s">
        <v>29</v>
      </c>
      <c r="F63" s="12" t="s">
        <v>41</v>
      </c>
      <c r="G63" s="16">
        <v>0.58065972222222217</v>
      </c>
      <c r="H63" s="14">
        <v>0</v>
      </c>
      <c r="I63" s="14">
        <v>45.166666666666657</v>
      </c>
      <c r="J63" s="14">
        <v>26.670683333333329</v>
      </c>
      <c r="K63" s="14">
        <v>2.8833333333333329</v>
      </c>
      <c r="L63" s="14">
        <v>61.423199999999987</v>
      </c>
      <c r="M63" s="14">
        <v>44.016666666666673</v>
      </c>
      <c r="N63" s="14">
        <v>75.583333333333329</v>
      </c>
      <c r="O63" s="14">
        <v>0</v>
      </c>
      <c r="P63" s="14">
        <v>0.69927270070112768</v>
      </c>
      <c r="Q63" s="14">
        <v>0.46628567792614323</v>
      </c>
      <c r="R63" s="14">
        <v>0.25148530388149032</v>
      </c>
      <c r="S63" s="14">
        <v>44.949249206480651</v>
      </c>
      <c r="T63" s="14">
        <v>32.631645338813911</v>
      </c>
      <c r="U63" s="14">
        <v>66.979394276202214</v>
      </c>
      <c r="V63" s="18"/>
      <c r="W63" s="18"/>
      <c r="X63" s="18"/>
      <c r="Y63" s="18"/>
      <c r="Z63" s="18"/>
      <c r="AA63" s="14" t="str">
        <f>IF(AND(D63&lt;&gt;"EV",D63&lt;&gt;"Diesel"),"Invalid vehicle",IF(COUNTIFS(Routes[Corridor],E63,Routes[Direction],F63)=0,"Unknown route",IF(C63="","Missing date",IF(SUM(O63:U63)&lt;=0,"No distance","OK"))))</f>
        <v>OK</v>
      </c>
      <c r="AB63" s="17">
        <f t="shared" si="47"/>
        <v>46266</v>
      </c>
      <c r="AC63" s="14">
        <f>--(COUNTIFS($C$5:C63,C63,$D$5:D63,D63,$G$5:G63,G63,$F$5:F63,F63)=1)</f>
        <v>1</v>
      </c>
      <c r="AD63" s="14">
        <f t="shared" si="73"/>
        <v>0</v>
      </c>
      <c r="AE63" s="14">
        <f t="shared" si="74"/>
        <v>1</v>
      </c>
      <c r="AF63" s="14">
        <f t="shared" si="48"/>
        <v>0</v>
      </c>
      <c r="AG63" s="14">
        <f>SUMIFS(Routes[Net elevation (m)],Routes[Corridor],E63,Routes[Direction],F63)</f>
        <v>-5</v>
      </c>
      <c r="AH63" s="14">
        <f t="shared" si="75"/>
        <v>16500</v>
      </c>
      <c r="AI63" s="14">
        <f t="shared" si="76"/>
        <v>0.25</v>
      </c>
      <c r="AJ63" s="14">
        <f t="shared" si="77"/>
        <v>8.1</v>
      </c>
      <c r="AK63" s="14">
        <f t="shared" si="49"/>
        <v>145.97733250400555</v>
      </c>
      <c r="AL63" s="14">
        <f t="shared" si="50"/>
        <v>4.262398055555555</v>
      </c>
      <c r="AM63" s="14">
        <f t="shared" si="51"/>
        <v>4.262398055555555</v>
      </c>
      <c r="AN63" s="14">
        <f t="shared" si="52"/>
        <v>1.1972891666666665</v>
      </c>
      <c r="AO63" s="14">
        <f t="shared" si="53"/>
        <v>3.0651088888888882</v>
      </c>
      <c r="AP63" s="14">
        <f t="shared" si="54"/>
        <v>47.245229900420597</v>
      </c>
      <c r="AQ63" s="14">
        <f t="shared" si="55"/>
        <v>5.2332201963778342</v>
      </c>
      <c r="AR63" s="14">
        <f t="shared" si="56"/>
        <v>43.907757205564671</v>
      </c>
      <c r="AS63" s="14">
        <f t="shared" si="57"/>
        <v>44.480849382707333</v>
      </c>
      <c r="AT63" s="14">
        <f t="shared" si="58"/>
        <v>53.169971200513338</v>
      </c>
      <c r="AU63" s="14">
        <f t="shared" si="78"/>
        <v>54.278255435164183</v>
      </c>
      <c r="AV63" s="14">
        <f t="shared" si="79"/>
        <v>14.622081290838635</v>
      </c>
      <c r="AW63" s="14">
        <f t="shared" si="59"/>
        <v>51.504348049092407</v>
      </c>
      <c r="AX63" s="14">
        <f t="shared" si="80"/>
        <v>-0.2248125</v>
      </c>
      <c r="AY63" s="14">
        <f t="shared" si="60"/>
        <v>54.278255435164183</v>
      </c>
      <c r="AZ63" s="14">
        <f t="shared" si="81"/>
        <v>-0.11240625</v>
      </c>
      <c r="BA63" s="14">
        <f t="shared" si="82"/>
        <v>36.99467300825377</v>
      </c>
      <c r="BB63" s="14">
        <f t="shared" si="61"/>
        <v>105.67019723425658</v>
      </c>
      <c r="BC63" s="14">
        <f t="shared" si="83"/>
        <v>127.41327212185035</v>
      </c>
      <c r="BD63" s="14">
        <f t="shared" si="84"/>
        <v>34.525424249999993</v>
      </c>
      <c r="BE63" s="14">
        <f t="shared" si="85"/>
        <v>0</v>
      </c>
      <c r="BF63" s="14">
        <f t="shared" si="86"/>
        <v>18.408919235637157</v>
      </c>
      <c r="BG63" s="14">
        <f t="shared" si="62"/>
        <v>143.52977713621317</v>
      </c>
      <c r="BH63" s="14" t="str">
        <f t="shared" si="87"/>
        <v/>
      </c>
      <c r="BI63" s="14">
        <f t="shared" si="88"/>
        <v>1</v>
      </c>
      <c r="BJ63" s="14">
        <f t="shared" si="63"/>
        <v>143.52977713621317</v>
      </c>
      <c r="BK63" s="14">
        <f t="shared" si="33"/>
        <v>516.70719769036748</v>
      </c>
      <c r="BL63" s="14" t="str">
        <f t="shared" si="89"/>
        <v/>
      </c>
      <c r="BM63" s="14">
        <f t="shared" si="90"/>
        <v>156.01062732197084</v>
      </c>
      <c r="BN63" s="14">
        <f t="shared" si="64"/>
        <v>0.98323331899680233</v>
      </c>
      <c r="BO63" s="14">
        <f t="shared" si="65"/>
        <v>1.0170525964481196</v>
      </c>
      <c r="BP63" s="14" t="str">
        <f t="shared" si="66"/>
        <v/>
      </c>
      <c r="BQ63" s="22">
        <f t="shared" si="67"/>
        <v>0.73622490985945754</v>
      </c>
      <c r="BR63" s="14">
        <f t="shared" si="91"/>
        <v>1482.1009595587229</v>
      </c>
      <c r="BS63" s="14">
        <f t="shared" si="92"/>
        <v>110.7675453985993</v>
      </c>
      <c r="BT63" s="14">
        <f t="shared" si="68"/>
        <v>10.152952750510458</v>
      </c>
      <c r="BU63" s="14">
        <f t="shared" si="69"/>
        <v>0.75879962661709743</v>
      </c>
      <c r="BV63" s="22" t="str">
        <f t="shared" si="70"/>
        <v/>
      </c>
      <c r="BW63" s="14" t="e">
        <f t="shared" si="71"/>
        <v>#N/A</v>
      </c>
      <c r="BX63" s="14" t="e">
        <f t="shared" si="72"/>
        <v>#N/A</v>
      </c>
    </row>
    <row r="64" spans="1:76" x14ac:dyDescent="0.25">
      <c r="A64" s="12" t="s">
        <v>515</v>
      </c>
      <c r="B64" s="12" t="s">
        <v>194</v>
      </c>
      <c r="C64" s="15">
        <v>46222</v>
      </c>
      <c r="D64" s="12" t="s">
        <v>457</v>
      </c>
      <c r="E64" s="12" t="s">
        <v>29</v>
      </c>
      <c r="F64" s="12" t="s">
        <v>41</v>
      </c>
      <c r="G64" s="16">
        <v>0.46440972222222221</v>
      </c>
      <c r="H64" s="14">
        <v>0</v>
      </c>
      <c r="I64" s="14">
        <v>71.083333333333329</v>
      </c>
      <c r="J64" s="14">
        <v>4.05</v>
      </c>
      <c r="K64" s="14">
        <v>7.6833333333333336</v>
      </c>
      <c r="L64" s="14">
        <v>38.68333333333333</v>
      </c>
      <c r="M64" s="14">
        <v>26.81666666666667</v>
      </c>
      <c r="N64" s="14">
        <v>117.31331666666669</v>
      </c>
      <c r="O64" s="14">
        <v>0</v>
      </c>
      <c r="P64" s="14">
        <v>0.57528410887100834</v>
      </c>
      <c r="Q64" s="14">
        <v>0.55256306869115623</v>
      </c>
      <c r="R64" s="14">
        <v>0.6833899734934139</v>
      </c>
      <c r="S64" s="14">
        <v>27.609909695058061</v>
      </c>
      <c r="T64" s="14">
        <v>19.892928271907479</v>
      </c>
      <c r="U64" s="14">
        <v>96.5752612810128</v>
      </c>
      <c r="V64" s="18"/>
      <c r="W64" s="18"/>
      <c r="X64" s="18"/>
      <c r="Y64" s="18"/>
      <c r="Z64" s="18"/>
      <c r="AA64" s="14" t="str">
        <f>IF(AND(D64&lt;&gt;"EV",D64&lt;&gt;"Diesel"),"Invalid vehicle",IF(COUNTIFS(Routes[Corridor],E64,Routes[Direction],F64)=0,"Unknown route",IF(C64="","Missing date",IF(SUM(O64:U64)&lt;=0,"No distance","OK"))))</f>
        <v>OK</v>
      </c>
      <c r="AB64" s="17">
        <f t="shared" si="47"/>
        <v>46204</v>
      </c>
      <c r="AC64" s="14">
        <f>--(COUNTIFS($C$5:C64,C64,$D$5:D64,D64,$G$5:G64,G64,$F$5:F64,F64)=1)</f>
        <v>0</v>
      </c>
      <c r="AD64" s="14">
        <f t="shared" si="73"/>
        <v>0</v>
      </c>
      <c r="AE64" s="14">
        <f t="shared" si="74"/>
        <v>1</v>
      </c>
      <c r="AF64" s="14">
        <f t="shared" si="48"/>
        <v>0</v>
      </c>
      <c r="AG64" s="14">
        <f>SUMIFS(Routes[Net elevation (m)],Routes[Corridor],E64,Routes[Direction],F64)</f>
        <v>-5</v>
      </c>
      <c r="AH64" s="14">
        <f t="shared" si="75"/>
        <v>14500</v>
      </c>
      <c r="AI64" s="14">
        <f t="shared" si="76"/>
        <v>0.25</v>
      </c>
      <c r="AJ64" s="14">
        <f t="shared" si="77"/>
        <v>8.1</v>
      </c>
      <c r="AK64" s="14">
        <f t="shared" si="49"/>
        <v>145.88933639903394</v>
      </c>
      <c r="AL64" s="14">
        <f t="shared" si="50"/>
        <v>4.4271663888888897</v>
      </c>
      <c r="AM64" s="14">
        <f t="shared" si="51"/>
        <v>4.4271663888888897</v>
      </c>
      <c r="AN64" s="14">
        <f t="shared" si="52"/>
        <v>1.2522222222222221</v>
      </c>
      <c r="AO64" s="14">
        <f t="shared" si="53"/>
        <v>3.1749441666666676</v>
      </c>
      <c r="AP64" s="14">
        <f t="shared" si="54"/>
        <v>45.594971634872856</v>
      </c>
      <c r="AQ64" s="14">
        <f t="shared" si="55"/>
        <v>5.3366679058054016</v>
      </c>
      <c r="AR64" s="14">
        <f t="shared" si="56"/>
        <v>42.824504481778987</v>
      </c>
      <c r="AS64" s="14">
        <f t="shared" si="57"/>
        <v>44.508727022291438</v>
      </c>
      <c r="AT64" s="14">
        <f t="shared" si="58"/>
        <v>49.393503154678235</v>
      </c>
      <c r="AU64" s="14">
        <f t="shared" si="78"/>
        <v>54.144205222809852</v>
      </c>
      <c r="AV64" s="14">
        <f t="shared" si="79"/>
        <v>8.1583353560627749</v>
      </c>
      <c r="AW64" s="14">
        <f t="shared" si="59"/>
        <v>27.801645179051519</v>
      </c>
      <c r="AX64" s="14">
        <f t="shared" si="80"/>
        <v>-0.1975625</v>
      </c>
      <c r="AY64" s="14">
        <f t="shared" si="60"/>
        <v>54.144205222809852</v>
      </c>
      <c r="AZ64" s="14">
        <f t="shared" si="81"/>
        <v>-9.8781250000000001E-2</v>
      </c>
      <c r="BA64" s="14">
        <f t="shared" si="82"/>
        <v>19.742091072988742</v>
      </c>
      <c r="BB64" s="14">
        <f t="shared" si="61"/>
        <v>81.847069151861376</v>
      </c>
      <c r="BC64" s="14">
        <f t="shared" si="83"/>
        <v>254.18344457099806</v>
      </c>
      <c r="BD64" s="14">
        <f t="shared" si="84"/>
        <v>73.477279285714303</v>
      </c>
      <c r="BE64" s="14">
        <f t="shared" si="85"/>
        <v>31.218595679012342</v>
      </c>
      <c r="BF64" s="14">
        <f t="shared" si="86"/>
        <v>0</v>
      </c>
      <c r="BG64" s="14">
        <f t="shared" si="62"/>
        <v>358.87931953572473</v>
      </c>
      <c r="BH64" s="14" t="str">
        <f t="shared" si="87"/>
        <v/>
      </c>
      <c r="BI64" s="14">
        <f t="shared" si="88"/>
        <v>1</v>
      </c>
      <c r="BJ64" s="14">
        <f t="shared" si="63"/>
        <v>358.87931953572473</v>
      </c>
      <c r="BK64" s="14">
        <f t="shared" si="33"/>
        <v>1291.965550328609</v>
      </c>
      <c r="BL64" s="14">
        <f t="shared" si="89"/>
        <v>35.987898337844264</v>
      </c>
      <c r="BM64" s="14" t="str">
        <f t="shared" si="90"/>
        <v/>
      </c>
      <c r="BN64" s="14">
        <f t="shared" si="64"/>
        <v>2.4599420930541789</v>
      </c>
      <c r="BO64" s="14">
        <f t="shared" si="65"/>
        <v>0.4065136341312956</v>
      </c>
      <c r="BP64" s="14">
        <f t="shared" si="66"/>
        <v>4.0538442959204204</v>
      </c>
      <c r="BQ64" s="22">
        <f t="shared" si="67"/>
        <v>0.22806293006168579</v>
      </c>
      <c r="BR64" s="14">
        <f t="shared" si="91"/>
        <v>3310.8866470816724</v>
      </c>
      <c r="BS64" s="14">
        <f t="shared" si="92"/>
        <v>96.447567545422629</v>
      </c>
      <c r="BT64" s="14">
        <f t="shared" si="68"/>
        <v>22.694507554861953</v>
      </c>
      <c r="BU64" s="14">
        <f t="shared" si="69"/>
        <v>0.66110087225032643</v>
      </c>
      <c r="BV64" s="22" t="str">
        <f t="shared" si="70"/>
        <v/>
      </c>
      <c r="BW64" s="14" t="e">
        <f t="shared" si="71"/>
        <v>#N/A</v>
      </c>
      <c r="BX64" s="14" t="e">
        <f t="shared" si="72"/>
        <v>#N/A</v>
      </c>
    </row>
    <row r="65" spans="1:76" x14ac:dyDescent="0.25">
      <c r="A65" s="12" t="s">
        <v>516</v>
      </c>
      <c r="B65" s="12" t="s">
        <v>198</v>
      </c>
      <c r="C65" s="15">
        <v>46223</v>
      </c>
      <c r="D65" s="12" t="s">
        <v>300</v>
      </c>
      <c r="E65" s="12" t="s">
        <v>29</v>
      </c>
      <c r="F65" s="12" t="s">
        <v>52</v>
      </c>
      <c r="G65" s="16">
        <v>0.61895833333333339</v>
      </c>
      <c r="H65" s="14">
        <v>0</v>
      </c>
      <c r="I65" s="14">
        <v>29.483333333333331</v>
      </c>
      <c r="J65" s="14">
        <v>0.1105833333333333</v>
      </c>
      <c r="K65" s="14">
        <v>5.2666666666666666</v>
      </c>
      <c r="L65" s="14">
        <v>45.483333333333327</v>
      </c>
      <c r="M65" s="14">
        <v>28.733333333333331</v>
      </c>
      <c r="N65" s="14">
        <v>78.575700000000012</v>
      </c>
      <c r="O65" s="14">
        <v>0</v>
      </c>
      <c r="P65" s="14">
        <v>0.42983924609536989</v>
      </c>
      <c r="Q65" s="14">
        <v>5.8482869291778893E-2</v>
      </c>
      <c r="R65" s="14">
        <v>0.35482326921949731</v>
      </c>
      <c r="S65" s="14">
        <v>37.109061687706358</v>
      </c>
      <c r="T65" s="14">
        <v>23.384143051110669</v>
      </c>
      <c r="U65" s="14">
        <v>62.656294523540041</v>
      </c>
      <c r="V65" s="18"/>
      <c r="W65" s="18"/>
      <c r="X65" s="18"/>
      <c r="Y65" s="18"/>
      <c r="Z65" s="18"/>
      <c r="AA65" s="14" t="str">
        <f>IF(AND(D65&lt;&gt;"EV",D65&lt;&gt;"Diesel"),"Invalid vehicle",IF(COUNTIFS(Routes[Corridor],E65,Routes[Direction],F65)=0,"Unknown route",IF(C65="","Missing date",IF(SUM(O65:U65)&lt;=0,"No distance","OK"))))</f>
        <v>OK</v>
      </c>
      <c r="AB65" s="17">
        <f t="shared" si="47"/>
        <v>46204</v>
      </c>
      <c r="AC65" s="14">
        <f>--(COUNTIFS($C$5:C65,C65,$D$5:D65,D65,$G$5:G65,G65,$F$5:F65,F65)=1)</f>
        <v>1</v>
      </c>
      <c r="AD65" s="14">
        <f t="shared" si="73"/>
        <v>0</v>
      </c>
      <c r="AE65" s="14">
        <f t="shared" si="74"/>
        <v>1</v>
      </c>
      <c r="AF65" s="14">
        <f t="shared" si="48"/>
        <v>0</v>
      </c>
      <c r="AG65" s="14">
        <f>SUMIFS(Routes[Net elevation (m)],Routes[Corridor],E65,Routes[Direction],F65)</f>
        <v>5</v>
      </c>
      <c r="AH65" s="14">
        <f t="shared" si="75"/>
        <v>16500</v>
      </c>
      <c r="AI65" s="14">
        <f t="shared" si="76"/>
        <v>0.25</v>
      </c>
      <c r="AJ65" s="14">
        <f t="shared" si="77"/>
        <v>8.1</v>
      </c>
      <c r="AK65" s="14">
        <f t="shared" si="49"/>
        <v>123.99264464696371</v>
      </c>
      <c r="AL65" s="14">
        <f t="shared" si="50"/>
        <v>3.1275491666666668</v>
      </c>
      <c r="AM65" s="14">
        <f t="shared" si="51"/>
        <v>3.1275491666666668</v>
      </c>
      <c r="AN65" s="14">
        <f t="shared" si="52"/>
        <v>0.4932319444444444</v>
      </c>
      <c r="AO65" s="14">
        <f t="shared" si="53"/>
        <v>2.6343172222222222</v>
      </c>
      <c r="AP65" s="14">
        <f t="shared" si="54"/>
        <v>46.882858863668829</v>
      </c>
      <c r="AQ65" s="14">
        <f t="shared" si="55"/>
        <v>4.0422904088297162</v>
      </c>
      <c r="AR65" s="14">
        <f t="shared" si="56"/>
        <v>48.952957887776805</v>
      </c>
      <c r="AS65" s="14">
        <f t="shared" si="57"/>
        <v>48.829997090486316</v>
      </c>
      <c r="AT65" s="14">
        <f t="shared" si="58"/>
        <v>47.844023933765804</v>
      </c>
      <c r="AU65" s="14">
        <f t="shared" si="78"/>
        <v>47.326562430996709</v>
      </c>
      <c r="AV65" s="14">
        <f t="shared" si="79"/>
        <v>11.117951512434775</v>
      </c>
      <c r="AW65" s="14">
        <f t="shared" si="59"/>
        <v>42.520799850496864</v>
      </c>
      <c r="AX65" s="14">
        <f t="shared" si="80"/>
        <v>0.2248125</v>
      </c>
      <c r="AY65" s="14">
        <f t="shared" si="60"/>
        <v>47.326562430996709</v>
      </c>
      <c r="AZ65" s="14">
        <f t="shared" si="81"/>
        <v>0.2248125</v>
      </c>
      <c r="BA65" s="14">
        <f t="shared" si="82"/>
        <v>31.402848338062089</v>
      </c>
      <c r="BB65" s="14">
        <f t="shared" si="61"/>
        <v>90.072174781493572</v>
      </c>
      <c r="BC65" s="14">
        <f t="shared" si="83"/>
        <v>108.60574519984758</v>
      </c>
      <c r="BD65" s="14">
        <f t="shared" si="84"/>
        <v>25.333148250000001</v>
      </c>
      <c r="BE65" s="14">
        <f t="shared" si="85"/>
        <v>0</v>
      </c>
      <c r="BF65" s="14">
        <f t="shared" si="86"/>
        <v>15.626371361503073</v>
      </c>
      <c r="BG65" s="14">
        <f t="shared" si="62"/>
        <v>118.31252208834449</v>
      </c>
      <c r="BH65" s="14" t="str">
        <f t="shared" si="87"/>
        <v/>
      </c>
      <c r="BI65" s="14">
        <f t="shared" si="88"/>
        <v>1</v>
      </c>
      <c r="BJ65" s="14">
        <f t="shared" si="63"/>
        <v>118.31252208834449</v>
      </c>
      <c r="BK65" s="14">
        <f t="shared" si="33"/>
        <v>425.92507951804021</v>
      </c>
      <c r="BL65" s="14" t="str">
        <f t="shared" si="89"/>
        <v/>
      </c>
      <c r="BM65" s="14">
        <f t="shared" si="90"/>
        <v>128.60056748733098</v>
      </c>
      <c r="BN65" s="14">
        <f t="shared" si="64"/>
        <v>0.95418984267339513</v>
      </c>
      <c r="BO65" s="14">
        <f t="shared" si="65"/>
        <v>1.0480094791181769</v>
      </c>
      <c r="BP65" s="14" t="str">
        <f t="shared" si="66"/>
        <v/>
      </c>
      <c r="BQ65" s="22">
        <f t="shared" si="67"/>
        <v>0.76130719886299336</v>
      </c>
      <c r="BR65" s="14">
        <f t="shared" si="91"/>
        <v>1221.7053911296443</v>
      </c>
      <c r="BS65" s="14">
        <f t="shared" si="92"/>
        <v>91.306402916004984</v>
      </c>
      <c r="BT65" s="14">
        <f t="shared" si="68"/>
        <v>9.8530472884752776</v>
      </c>
      <c r="BU65" s="14">
        <f t="shared" si="69"/>
        <v>0.73638563945446789</v>
      </c>
      <c r="BV65" s="22" t="str">
        <f t="shared" si="70"/>
        <v/>
      </c>
      <c r="BW65" s="14" t="e">
        <f t="shared" si="71"/>
        <v>#N/A</v>
      </c>
      <c r="BX65" s="14" t="e">
        <f t="shared" si="72"/>
        <v>#N/A</v>
      </c>
    </row>
    <row r="66" spans="1:76" x14ac:dyDescent="0.25">
      <c r="A66" s="12" t="s">
        <v>517</v>
      </c>
      <c r="B66" s="12" t="s">
        <v>198</v>
      </c>
      <c r="C66" s="15">
        <v>46223</v>
      </c>
      <c r="D66" s="12" t="s">
        <v>457</v>
      </c>
      <c r="E66" s="12" t="s">
        <v>29</v>
      </c>
      <c r="F66" s="12" t="s">
        <v>52</v>
      </c>
      <c r="G66" s="16">
        <v>0.70606481481481487</v>
      </c>
      <c r="H66" s="14">
        <v>0</v>
      </c>
      <c r="I66" s="14">
        <v>21.383333333333329</v>
      </c>
      <c r="J66" s="14">
        <v>1</v>
      </c>
      <c r="K66" s="14">
        <v>0</v>
      </c>
      <c r="L66" s="14">
        <v>39.18333333333333</v>
      </c>
      <c r="M66" s="14">
        <v>30.466666666666669</v>
      </c>
      <c r="N66" s="14">
        <v>102.92506666666669</v>
      </c>
      <c r="O66" s="14">
        <v>0</v>
      </c>
      <c r="P66" s="14">
        <v>0.1090721560237224</v>
      </c>
      <c r="Q66" s="14">
        <v>0.87783172684814326</v>
      </c>
      <c r="R66" s="14">
        <v>0</v>
      </c>
      <c r="S66" s="14">
        <v>28.213201619757211</v>
      </c>
      <c r="T66" s="14">
        <v>20.93633895165053</v>
      </c>
      <c r="U66" s="14">
        <v>73.843830613428992</v>
      </c>
      <c r="V66" s="18"/>
      <c r="W66" s="18"/>
      <c r="X66" s="18"/>
      <c r="Y66" s="18"/>
      <c r="Z66" s="18"/>
      <c r="AA66" s="14" t="str">
        <f>IF(AND(D66&lt;&gt;"EV",D66&lt;&gt;"Diesel"),"Invalid vehicle",IF(COUNTIFS(Routes[Corridor],E66,Routes[Direction],F66)=0,"Unknown route",IF(C66="","Missing date",IF(SUM(O66:U66)&lt;=0,"No distance","OK"))))</f>
        <v>OK</v>
      </c>
      <c r="AB66" s="17">
        <f t="shared" si="47"/>
        <v>46204</v>
      </c>
      <c r="AC66" s="14">
        <f>--(COUNTIFS($C$5:C66,C66,$D$5:D66,D66,$G$5:G66,G66,$F$5:F66,F66)=1)</f>
        <v>0</v>
      </c>
      <c r="AD66" s="14">
        <f t="shared" si="73"/>
        <v>0</v>
      </c>
      <c r="AE66" s="14">
        <f t="shared" si="74"/>
        <v>1</v>
      </c>
      <c r="AF66" s="14">
        <f t="shared" si="48"/>
        <v>0</v>
      </c>
      <c r="AG66" s="14">
        <f>SUMIFS(Routes[Net elevation (m)],Routes[Corridor],E66,Routes[Direction],F66)</f>
        <v>5</v>
      </c>
      <c r="AH66" s="14">
        <f t="shared" si="75"/>
        <v>14500</v>
      </c>
      <c r="AI66" s="14">
        <f t="shared" si="76"/>
        <v>0.25</v>
      </c>
      <c r="AJ66" s="14">
        <f t="shared" si="77"/>
        <v>8.1</v>
      </c>
      <c r="AK66" s="14">
        <f t="shared" si="49"/>
        <v>123.98027506770859</v>
      </c>
      <c r="AL66" s="14">
        <f t="shared" si="50"/>
        <v>3.2493066666666675</v>
      </c>
      <c r="AM66" s="14">
        <f t="shared" si="51"/>
        <v>3.2493066666666675</v>
      </c>
      <c r="AN66" s="14">
        <f t="shared" si="52"/>
        <v>0.37305555555555547</v>
      </c>
      <c r="AO66" s="14">
        <f t="shared" si="53"/>
        <v>2.8762511111111118</v>
      </c>
      <c r="AP66" s="14">
        <f t="shared" si="54"/>
        <v>42.761694453487308</v>
      </c>
      <c r="AQ66" s="14">
        <f t="shared" si="55"/>
        <v>0</v>
      </c>
      <c r="AR66" s="14">
        <f t="shared" si="56"/>
        <v>43.201839996225424</v>
      </c>
      <c r="AS66" s="14">
        <f t="shared" si="57"/>
        <v>41.231302092966033</v>
      </c>
      <c r="AT66" s="14">
        <f t="shared" si="58"/>
        <v>43.047140801519085</v>
      </c>
      <c r="AU66" s="14">
        <f t="shared" si="78"/>
        <v>41.27289908521194</v>
      </c>
      <c r="AV66" s="14">
        <f t="shared" si="79"/>
        <v>8.189709274464672</v>
      </c>
      <c r="AW66" s="14">
        <f t="shared" si="59"/>
        <v>28.409126631005524</v>
      </c>
      <c r="AX66" s="14">
        <f t="shared" si="80"/>
        <v>0.1975625</v>
      </c>
      <c r="AY66" s="14">
        <f t="shared" si="60"/>
        <v>41.27289908521194</v>
      </c>
      <c r="AZ66" s="14">
        <f t="shared" si="81"/>
        <v>0.1975625</v>
      </c>
      <c r="BA66" s="14">
        <f t="shared" si="82"/>
        <v>20.219417356540852</v>
      </c>
      <c r="BB66" s="14">
        <f t="shared" si="61"/>
        <v>69.879588216217471</v>
      </c>
      <c r="BC66" s="14">
        <f t="shared" si="83"/>
        <v>217.01735470874991</v>
      </c>
      <c r="BD66" s="14">
        <f t="shared" si="84"/>
        <v>66.564668571428598</v>
      </c>
      <c r="BE66" s="14">
        <f t="shared" si="85"/>
        <v>9.3004822530864164</v>
      </c>
      <c r="BF66" s="14">
        <f t="shared" si="86"/>
        <v>0</v>
      </c>
      <c r="BG66" s="14">
        <f t="shared" si="62"/>
        <v>292.88250553326498</v>
      </c>
      <c r="BH66" s="14" t="str">
        <f t="shared" si="87"/>
        <v/>
      </c>
      <c r="BI66" s="14">
        <f t="shared" si="88"/>
        <v>1</v>
      </c>
      <c r="BJ66" s="14">
        <f t="shared" si="63"/>
        <v>292.88250553326498</v>
      </c>
      <c r="BK66" s="14">
        <f t="shared" si="33"/>
        <v>1054.377019919754</v>
      </c>
      <c r="BL66" s="14">
        <f t="shared" si="89"/>
        <v>29.369833423948581</v>
      </c>
      <c r="BM66" s="14" t="str">
        <f t="shared" si="90"/>
        <v/>
      </c>
      <c r="BN66" s="14">
        <f t="shared" si="64"/>
        <v>2.3623314706578515</v>
      </c>
      <c r="BO66" s="14">
        <f t="shared" si="65"/>
        <v>0.42331062021602095</v>
      </c>
      <c r="BP66" s="14">
        <f t="shared" si="66"/>
        <v>4.221347573820875</v>
      </c>
      <c r="BQ66" s="22">
        <f t="shared" si="67"/>
        <v>0.23859256492286698</v>
      </c>
      <c r="BR66" s="14">
        <f t="shared" si="91"/>
        <v>2702.0246750032693</v>
      </c>
      <c r="BS66" s="14">
        <f t="shared" si="92"/>
        <v>78.711153576182198</v>
      </c>
      <c r="BT66" s="14">
        <f t="shared" si="68"/>
        <v>21.793988386681907</v>
      </c>
      <c r="BU66" s="14">
        <f t="shared" si="69"/>
        <v>0.63486835735116864</v>
      </c>
      <c r="BV66" s="22" t="str">
        <f t="shared" si="70"/>
        <v/>
      </c>
      <c r="BW66" s="14" t="e">
        <f t="shared" si="71"/>
        <v>#N/A</v>
      </c>
      <c r="BX66" s="14" t="e">
        <f t="shared" si="72"/>
        <v>#N/A</v>
      </c>
    </row>
    <row r="67" spans="1:76" x14ac:dyDescent="0.25">
      <c r="A67" s="12" t="s">
        <v>518</v>
      </c>
      <c r="B67" s="12" t="s">
        <v>201</v>
      </c>
      <c r="C67" s="15">
        <v>46223</v>
      </c>
      <c r="D67" s="12" t="s">
        <v>300</v>
      </c>
      <c r="E67" s="12" t="s">
        <v>35</v>
      </c>
      <c r="F67" s="12" t="s">
        <v>55</v>
      </c>
      <c r="G67" s="16">
        <v>8.3333333333333339E-4</v>
      </c>
      <c r="H67" s="14">
        <v>23.4</v>
      </c>
      <c r="I67" s="14">
        <v>37.616666666666667</v>
      </c>
      <c r="J67" s="14">
        <v>0</v>
      </c>
      <c r="K67" s="14">
        <v>0.58333333333333337</v>
      </c>
      <c r="L67" s="14">
        <v>58.389133333333326</v>
      </c>
      <c r="M67" s="14">
        <v>47.783333333333331</v>
      </c>
      <c r="N67" s="14">
        <v>188.35</v>
      </c>
      <c r="O67" s="14">
        <v>0.14191087104532421</v>
      </c>
      <c r="P67" s="14">
        <v>1.601243883509142</v>
      </c>
      <c r="Q67" s="14">
        <v>0</v>
      </c>
      <c r="R67" s="14">
        <v>0.2289474824354939</v>
      </c>
      <c r="S67" s="14">
        <v>60.390008783948808</v>
      </c>
      <c r="T67" s="14">
        <v>48.618346688203523</v>
      </c>
      <c r="U67" s="14">
        <v>213.8473891466835</v>
      </c>
      <c r="V67" s="18"/>
      <c r="W67" s="18"/>
      <c r="X67" s="18"/>
      <c r="Y67" s="18"/>
      <c r="Z67" s="18"/>
      <c r="AA67" s="14" t="str">
        <f>IF(AND(D67&lt;&gt;"EV",D67&lt;&gt;"Diesel"),"Invalid vehicle",IF(COUNTIFS(Routes[Corridor],E67,Routes[Direction],F67)=0,"Unknown route",IF(C67="","Missing date",IF(SUM(O67:U67)&lt;=0,"No distance","OK"))))</f>
        <v>OK</v>
      </c>
      <c r="AB67" s="17">
        <f t="shared" si="47"/>
        <v>46204</v>
      </c>
      <c r="AC67" s="14">
        <f>--(COUNTIFS($C$5:C67,C67,$D$5:D67,D67,$G$5:G67,G67,$F$5:F67,F67)=1)</f>
        <v>1</v>
      </c>
      <c r="AD67" s="14">
        <f t="shared" si="73"/>
        <v>1</v>
      </c>
      <c r="AE67" s="14">
        <f t="shared" si="74"/>
        <v>1</v>
      </c>
      <c r="AF67" s="14">
        <f t="shared" si="48"/>
        <v>1</v>
      </c>
      <c r="AG67" s="14">
        <f>SUMIFS(Routes[Net elevation (m)],Routes[Corridor],E67,Routes[Direction],F67)</f>
        <v>-885</v>
      </c>
      <c r="AH67" s="14">
        <f t="shared" si="75"/>
        <v>16500</v>
      </c>
      <c r="AI67" s="14">
        <f t="shared" si="76"/>
        <v>0.25</v>
      </c>
      <c r="AJ67" s="14">
        <f t="shared" si="77"/>
        <v>8.1</v>
      </c>
      <c r="AK67" s="14">
        <f t="shared" si="49"/>
        <v>324.82784685582578</v>
      </c>
      <c r="AL67" s="14">
        <f t="shared" si="50"/>
        <v>5.9353744444444452</v>
      </c>
      <c r="AM67" s="14">
        <f t="shared" si="51"/>
        <v>5.5453744444444446</v>
      </c>
      <c r="AN67" s="14">
        <f t="shared" si="52"/>
        <v>0.62694444444444442</v>
      </c>
      <c r="AO67" s="14">
        <f t="shared" si="53"/>
        <v>4.9184299999999999</v>
      </c>
      <c r="AP67" s="14">
        <f t="shared" si="54"/>
        <v>65.688581946123321</v>
      </c>
      <c r="AQ67" s="14">
        <f t="shared" si="55"/>
        <v>23.548883907650801</v>
      </c>
      <c r="AR67" s="14">
        <f t="shared" si="56"/>
        <v>62.056076536563239</v>
      </c>
      <c r="AS67" s="14">
        <f t="shared" si="57"/>
        <v>61.04849950384817</v>
      </c>
      <c r="AT67" s="14">
        <f t="shared" si="58"/>
        <v>68.122343237594961</v>
      </c>
      <c r="AU67" s="14">
        <f t="shared" si="78"/>
        <v>169.50598799626582</v>
      </c>
      <c r="AV67" s="14">
        <f t="shared" si="79"/>
        <v>27.515003826376066</v>
      </c>
      <c r="AW67" s="14">
        <f t="shared" si="59"/>
        <v>69.196885064941341</v>
      </c>
      <c r="AX67" s="14">
        <f t="shared" si="80"/>
        <v>-39.791812499999999</v>
      </c>
      <c r="AY67" s="14">
        <f t="shared" si="60"/>
        <v>169.50598799626582</v>
      </c>
      <c r="AZ67" s="14">
        <f t="shared" si="81"/>
        <v>-19.895906249999999</v>
      </c>
      <c r="BA67" s="14">
        <f t="shared" si="82"/>
        <v>61.577787488565278</v>
      </c>
      <c r="BB67" s="14">
        <f t="shared" si="61"/>
        <v>218.80696681120716</v>
      </c>
      <c r="BC67" s="14">
        <f t="shared" si="83"/>
        <v>263.82946501622615</v>
      </c>
      <c r="BD67" s="14">
        <f t="shared" si="84"/>
        <v>44.917532999999999</v>
      </c>
      <c r="BE67" s="14">
        <f t="shared" si="85"/>
        <v>0</v>
      </c>
      <c r="BF67" s="14">
        <f t="shared" si="86"/>
        <v>30.641722832184964</v>
      </c>
      <c r="BG67" s="14">
        <f t="shared" si="62"/>
        <v>278.1052751840412</v>
      </c>
      <c r="BH67" s="14" t="str">
        <f t="shared" si="87"/>
        <v/>
      </c>
      <c r="BI67" s="14">
        <f t="shared" si="88"/>
        <v>1</v>
      </c>
      <c r="BJ67" s="14">
        <f t="shared" si="63"/>
        <v>278.1052751840412</v>
      </c>
      <c r="BK67" s="14">
        <f t="shared" si="33"/>
        <v>1001.1789906625484</v>
      </c>
      <c r="BL67" s="14" t="str">
        <f t="shared" si="89"/>
        <v/>
      </c>
      <c r="BM67" s="14">
        <f t="shared" si="90"/>
        <v>302.28834259134914</v>
      </c>
      <c r="BN67" s="14">
        <f t="shared" si="64"/>
        <v>0.85616204976255528</v>
      </c>
      <c r="BO67" s="14">
        <f t="shared" si="65"/>
        <v>1.1680031838334064</v>
      </c>
      <c r="BP67" s="14" t="str">
        <f t="shared" si="66"/>
        <v/>
      </c>
      <c r="BQ67" s="22">
        <f t="shared" si="67"/>
        <v>0.78677747722119862</v>
      </c>
      <c r="BR67" s="14">
        <f t="shared" si="91"/>
        <v>2871.7392546178166</v>
      </c>
      <c r="BS67" s="14">
        <f t="shared" si="92"/>
        <v>214.62472323985787</v>
      </c>
      <c r="BT67" s="14">
        <f t="shared" si="68"/>
        <v>8.8408037747220387</v>
      </c>
      <c r="BU67" s="14">
        <f t="shared" si="69"/>
        <v>0.66073375579501548</v>
      </c>
      <c r="BV67" s="22" t="str">
        <f t="shared" si="70"/>
        <v/>
      </c>
      <c r="BW67" s="14">
        <f t="shared" si="71"/>
        <v>0.85616204976255528</v>
      </c>
      <c r="BX67" s="14" t="e">
        <f t="shared" si="72"/>
        <v>#N/A</v>
      </c>
    </row>
    <row r="68" spans="1:76" x14ac:dyDescent="0.25">
      <c r="A68" s="12" t="s">
        <v>519</v>
      </c>
      <c r="B68" s="12" t="s">
        <v>201</v>
      </c>
      <c r="C68" s="15">
        <v>46232</v>
      </c>
      <c r="D68" s="12" t="s">
        <v>457</v>
      </c>
      <c r="E68" s="12" t="s">
        <v>35</v>
      </c>
      <c r="F68" s="12" t="s">
        <v>55</v>
      </c>
      <c r="G68" s="16">
        <v>0.95709490740740744</v>
      </c>
      <c r="H68" s="14">
        <v>0</v>
      </c>
      <c r="I68" s="14">
        <v>18.100000000000001</v>
      </c>
      <c r="J68" s="14">
        <v>6.6666666666666666E-2</v>
      </c>
      <c r="K68" s="14">
        <v>1.75</v>
      </c>
      <c r="L68" s="14">
        <v>61.95</v>
      </c>
      <c r="M68" s="14">
        <v>44.95</v>
      </c>
      <c r="N68" s="14">
        <v>206.6166666666667</v>
      </c>
      <c r="O68" s="14">
        <v>0</v>
      </c>
      <c r="P68" s="14">
        <v>0.2136487015115684</v>
      </c>
      <c r="Q68" s="14">
        <v>0</v>
      </c>
      <c r="R68" s="14">
        <v>0.30731281945969252</v>
      </c>
      <c r="S68" s="14">
        <v>59.158885604214703</v>
      </c>
      <c r="T68" s="14">
        <v>41.619295306483529</v>
      </c>
      <c r="U68" s="14">
        <v>229.35471122561461</v>
      </c>
      <c r="V68" s="18"/>
      <c r="W68" s="18"/>
      <c r="X68" s="18"/>
      <c r="Y68" s="18"/>
      <c r="Z68" s="18"/>
      <c r="AA68" s="14" t="str">
        <f>IF(AND(D68&lt;&gt;"EV",D68&lt;&gt;"Diesel"),"Invalid vehicle",IF(COUNTIFS(Routes[Corridor],E68,Routes[Direction],F68)=0,"Unknown route",IF(C68="","Missing date",IF(SUM(O68:U68)&lt;=0,"No distance","OK"))))</f>
        <v>OK</v>
      </c>
      <c r="AB68" s="17">
        <f t="shared" si="47"/>
        <v>46204</v>
      </c>
      <c r="AC68" s="14">
        <f>--(COUNTIFS($C$5:C68,C68,$D$5:D68,D68,$G$5:G68,G68,$F$5:F68,F68)=1)</f>
        <v>0</v>
      </c>
      <c r="AD68" s="14">
        <f t="shared" si="73"/>
        <v>1</v>
      </c>
      <c r="AE68" s="14">
        <f t="shared" si="74"/>
        <v>1</v>
      </c>
      <c r="AF68" s="14">
        <f t="shared" si="48"/>
        <v>1</v>
      </c>
      <c r="AG68" s="14">
        <f>SUMIFS(Routes[Net elevation (m)],Routes[Corridor],E68,Routes[Direction],F68)</f>
        <v>-885</v>
      </c>
      <c r="AH68" s="14">
        <f t="shared" si="75"/>
        <v>14500</v>
      </c>
      <c r="AI68" s="14">
        <f t="shared" si="76"/>
        <v>0.25</v>
      </c>
      <c r="AJ68" s="14">
        <f t="shared" si="77"/>
        <v>8.1</v>
      </c>
      <c r="AK68" s="14">
        <f t="shared" si="49"/>
        <v>330.65385365728412</v>
      </c>
      <c r="AL68" s="14">
        <f t="shared" si="50"/>
        <v>5.5572222222222232</v>
      </c>
      <c r="AM68" s="14">
        <f t="shared" si="51"/>
        <v>5.5572222222222232</v>
      </c>
      <c r="AN68" s="14">
        <f t="shared" si="52"/>
        <v>0.30277777777777781</v>
      </c>
      <c r="AO68" s="14">
        <f t="shared" si="53"/>
        <v>5.2544444444444451</v>
      </c>
      <c r="AP68" s="14">
        <f t="shared" si="54"/>
        <v>62.887753110635487</v>
      </c>
      <c r="AQ68" s="14">
        <f t="shared" si="55"/>
        <v>10.536439524332314</v>
      </c>
      <c r="AR68" s="14">
        <f t="shared" si="56"/>
        <v>57.296741505292694</v>
      </c>
      <c r="AS68" s="14">
        <f t="shared" si="57"/>
        <v>55.554120542580897</v>
      </c>
      <c r="AT68" s="14">
        <f t="shared" si="58"/>
        <v>66.602965266775229</v>
      </c>
      <c r="AU68" s="14">
        <f t="shared" si="78"/>
        <v>161.61111442889384</v>
      </c>
      <c r="AV68" s="14">
        <f t="shared" si="79"/>
        <v>20.169006303074465</v>
      </c>
      <c r="AW68" s="14">
        <f t="shared" si="59"/>
        <v>59.569711198688417</v>
      </c>
      <c r="AX68" s="14">
        <f t="shared" si="80"/>
        <v>-34.968562499999997</v>
      </c>
      <c r="AY68" s="14">
        <f t="shared" si="60"/>
        <v>161.61111442889384</v>
      </c>
      <c r="AZ68" s="14">
        <f t="shared" si="81"/>
        <v>-17.484281249999999</v>
      </c>
      <c r="BA68" s="14">
        <f t="shared" si="82"/>
        <v>56.884986145613951</v>
      </c>
      <c r="BB68" s="14">
        <f t="shared" si="61"/>
        <v>203.69654437758226</v>
      </c>
      <c r="BC68" s="14">
        <f t="shared" si="83"/>
        <v>632.59796390553493</v>
      </c>
      <c r="BD68" s="14">
        <f t="shared" si="84"/>
        <v>121.60285714285718</v>
      </c>
      <c r="BE68" s="14">
        <f t="shared" si="85"/>
        <v>7.5484182098765435</v>
      </c>
      <c r="BF68" s="14">
        <f t="shared" si="86"/>
        <v>0</v>
      </c>
      <c r="BG68" s="14">
        <f t="shared" si="62"/>
        <v>761.74923925826863</v>
      </c>
      <c r="BH68" s="14" t="str">
        <f t="shared" si="87"/>
        <v/>
      </c>
      <c r="BI68" s="14">
        <f t="shared" si="88"/>
        <v>1</v>
      </c>
      <c r="BJ68" s="14">
        <f t="shared" si="63"/>
        <v>761.74923925826863</v>
      </c>
      <c r="BK68" s="14">
        <f t="shared" si="33"/>
        <v>2742.297261329767</v>
      </c>
      <c r="BL68" s="14">
        <f t="shared" si="89"/>
        <v>76.38711034344756</v>
      </c>
      <c r="BM68" s="14" t="str">
        <f t="shared" si="90"/>
        <v/>
      </c>
      <c r="BN68" s="14">
        <f t="shared" si="64"/>
        <v>2.3037664035447958</v>
      </c>
      <c r="BO68" s="14">
        <f t="shared" si="65"/>
        <v>0.43407178716613987</v>
      </c>
      <c r="BP68" s="14">
        <f t="shared" si="66"/>
        <v>4.3286603220178943</v>
      </c>
      <c r="BQ68" s="22">
        <f t="shared" si="67"/>
        <v>0.26740629839804747</v>
      </c>
      <c r="BR68" s="14">
        <f t="shared" si="91"/>
        <v>7027.6141515971758</v>
      </c>
      <c r="BS68" s="14">
        <f t="shared" si="92"/>
        <v>204.71745572043946</v>
      </c>
      <c r="BT68" s="14">
        <f t="shared" si="68"/>
        <v>21.253688937438341</v>
      </c>
      <c r="BU68" s="14">
        <f t="shared" si="69"/>
        <v>0.61912919948189948</v>
      </c>
      <c r="BV68" s="22" t="str">
        <f t="shared" si="70"/>
        <v/>
      </c>
      <c r="BW68" s="14" t="e">
        <f t="shared" si="71"/>
        <v>#N/A</v>
      </c>
      <c r="BX68" s="14">
        <f t="shared" si="72"/>
        <v>2.3037664035447958</v>
      </c>
    </row>
    <row r="69" spans="1:76" x14ac:dyDescent="0.25">
      <c r="A69" s="12" t="s">
        <v>520</v>
      </c>
      <c r="B69" s="12" t="s">
        <v>205</v>
      </c>
      <c r="C69" s="15">
        <v>46223</v>
      </c>
      <c r="D69" s="12" t="s">
        <v>300</v>
      </c>
      <c r="E69" s="12" t="s">
        <v>35</v>
      </c>
      <c r="F69" s="12" t="s">
        <v>55</v>
      </c>
      <c r="G69" s="16">
        <v>1.9444444444444444E-3</v>
      </c>
      <c r="H69" s="14">
        <v>23.4</v>
      </c>
      <c r="I69" s="14">
        <v>37.616666666666667</v>
      </c>
      <c r="J69" s="14">
        <v>0</v>
      </c>
      <c r="K69" s="14">
        <v>0.58333333333333337</v>
      </c>
      <c r="L69" s="14">
        <v>56.670316666666658</v>
      </c>
      <c r="M69" s="14">
        <v>46.800916666666673</v>
      </c>
      <c r="N69" s="14">
        <v>184.98333333333329</v>
      </c>
      <c r="O69" s="14">
        <v>0.14191087104532421</v>
      </c>
      <c r="P69" s="14">
        <v>1.601243883509142</v>
      </c>
      <c r="Q69" s="14">
        <v>0</v>
      </c>
      <c r="R69" s="14">
        <v>0.2289474824354939</v>
      </c>
      <c r="S69" s="14">
        <v>59.191315216437189</v>
      </c>
      <c r="T69" s="14">
        <v>47.930006827141881</v>
      </c>
      <c r="U69" s="14">
        <v>211.20157917584299</v>
      </c>
      <c r="V69" s="18"/>
      <c r="W69" s="18"/>
      <c r="X69" s="18"/>
      <c r="Y69" s="18"/>
      <c r="Z69" s="18"/>
      <c r="AA69" s="14" t="str">
        <f>IF(AND(D69&lt;&gt;"EV",D69&lt;&gt;"Diesel"),"Invalid vehicle",IF(COUNTIFS(Routes[Corridor],E69,Routes[Direction],F69)=0,"Unknown route",IF(C69="","Missing date",IF(SUM(O69:U69)&lt;=0,"No distance","OK"))))</f>
        <v>OK</v>
      </c>
      <c r="AB69" s="17">
        <f t="shared" si="47"/>
        <v>46204</v>
      </c>
      <c r="AC69" s="14">
        <f>--(COUNTIFS($C$5:C69,C69,$D$5:D69,D69,$G$5:G69,G69,$F$5:F69,F69)=1)</f>
        <v>1</v>
      </c>
      <c r="AD69" s="14">
        <f t="shared" ref="AD69:AD100" si="93">--AND(AA69="OK",OR(TAT_Sel_Basis="All pair instances",AC69=1),OR(TAT_Sel_Corridor="All",E69=TAT_Sel_Corridor),OR(TAT_Sel_DirEff="All",F69=TAT_Sel_DirEff))</f>
        <v>1</v>
      </c>
      <c r="AE69" s="14">
        <f t="shared" ref="AE69:AE100" si="94">--AND(AA69="OK",OR(TAT_Sel_Basis="All pair instances",AC69=1),OR(TAT_Sel_Month="All",TEXT(AB69,"mmm yyyy")=TAT_Sel_Month))</f>
        <v>1</v>
      </c>
      <c r="AF69" s="14">
        <f t="shared" si="48"/>
        <v>1</v>
      </c>
      <c r="AG69" s="14">
        <f>SUMIFS(Routes[Net elevation (m)],Routes[Corridor],E69,Routes[Direction],F69)</f>
        <v>-885</v>
      </c>
      <c r="AH69" s="14">
        <f t="shared" ref="AH69:AH100" si="95">IF(D69="EV",TAT_Kerb_EV,TAT_Kerb_D)+IF(V69="",TAT_Pax_Default,V69)*TAT_Pax_Mass</f>
        <v>16500</v>
      </c>
      <c r="AI69" s="14">
        <f t="shared" ref="AI69:AI100" si="96">IF(X69="",IF(D69="EV",TAT_Acc_EV,TAT_Acc_D),X69)</f>
        <v>0.25</v>
      </c>
      <c r="AJ69" s="14">
        <f t="shared" ref="AJ69:AJ100" si="97">IF(D69="EV",TAT_AuxBase_EV,TAT_AuxBase_D)+TAT_HVAC_k*MAX(0,IF(W69="",TAT_Temp_Default,W69)-TAT_HVAC_Tset)</f>
        <v>8.1</v>
      </c>
      <c r="AK69" s="14">
        <f t="shared" si="49"/>
        <v>320.29500345641202</v>
      </c>
      <c r="AL69" s="14">
        <f t="shared" si="50"/>
        <v>5.834242777777777</v>
      </c>
      <c r="AM69" s="14">
        <f t="shared" si="51"/>
        <v>5.4442427777777764</v>
      </c>
      <c r="AN69" s="14">
        <f t="shared" si="52"/>
        <v>0.62694444444444442</v>
      </c>
      <c r="AO69" s="14">
        <f t="shared" si="53"/>
        <v>4.8172983333333317</v>
      </c>
      <c r="AP69" s="14">
        <f t="shared" si="54"/>
        <v>66.126659936677726</v>
      </c>
      <c r="AQ69" s="14">
        <f t="shared" si="55"/>
        <v>23.548883907650801</v>
      </c>
      <c r="AR69" s="14">
        <f t="shared" si="56"/>
        <v>62.669120659338098</v>
      </c>
      <c r="AS69" s="14">
        <f t="shared" si="57"/>
        <v>61.447523135305666</v>
      </c>
      <c r="AT69" s="14">
        <f t="shared" si="58"/>
        <v>68.503980992254711</v>
      </c>
      <c r="AU69" s="14">
        <f t="shared" ref="AU69:AU100" si="98">(IF(D69="EV",TAT_Crr_EV,TAT_Crr_D)*AH69*TAT_G_acc*(AK69-T69)+IF(D69="EV",TAT_Kaero_EV,TAT_Kaero_D)*((AQ69/3.6)^2*R69+(AR69/3.6)^2*S69+(AT69/3.6)^2*U69))/3600</f>
        <v>168.20457543623834</v>
      </c>
      <c r="AV69" s="14">
        <f t="shared" ref="AV69:AV100" si="99">(IF(D69="EV",TAT_Crr_EV,TAT_Crr_D)*AH69*TAT_G_acc+IF(D69="EV",TAT_Kaero_EV,TAT_Kaero_D)*(AS69/3.6)^2)*T69/3600</f>
        <v>27.283352091110029</v>
      </c>
      <c r="AW69" s="14">
        <f t="shared" si="59"/>
        <v>67.82338201883428</v>
      </c>
      <c r="AX69" s="14">
        <f t="shared" ref="AX69:AX100" si="100">AH69*TAT_G_acc*AG69/3600000</f>
        <v>-39.791812499999999</v>
      </c>
      <c r="AY69" s="14">
        <f t="shared" si="60"/>
        <v>168.20457543623834</v>
      </c>
      <c r="AZ69" s="14">
        <f t="shared" ref="AZ69:AZ100" si="101">MAX(0,AX69)-TAT_Descent_Share*MAX(0,-AX69)</f>
        <v>-19.895906249999999</v>
      </c>
      <c r="BA69" s="14">
        <f t="shared" ref="BA69:BA100" si="102">MAX(0,AW69-AV69)+(1-TAT_Descent_Share)*MAX(0,-AX69)</f>
        <v>60.435936177724244</v>
      </c>
      <c r="BB69" s="14">
        <f t="shared" si="61"/>
        <v>216.13205120507263</v>
      </c>
      <c r="BC69" s="14">
        <f t="shared" ref="BC69:BC100" si="103">BB69/IF(D69="EV",TAT_EtaPT_EV,TAT_EtaPT_D)</f>
        <v>260.60414927964388</v>
      </c>
      <c r="BD69" s="14">
        <f t="shared" ref="BD69:BD100" si="104">IF(D69="EV",AJ69*AM69,AJ69*AO69/TAT_EtaEng_D)</f>
        <v>44.09836649999999</v>
      </c>
      <c r="BE69" s="14">
        <f t="shared" ref="BE69:BE100" si="105">IF(D69="EV",0,TAT_IdleFuel_D*AN69*TAT_LHV_kWhL)</f>
        <v>0</v>
      </c>
      <c r="BF69" s="14">
        <f t="shared" ref="BF69:BF100" si="106">IF(D69="EV",TAT_Regen_EV*TAT_EtaPT_EV*BA69,0)</f>
        <v>30.073526201397357</v>
      </c>
      <c r="BG69" s="14">
        <f t="shared" si="62"/>
        <v>274.62898957824655</v>
      </c>
      <c r="BH69" s="14" t="str">
        <f t="shared" ref="BH69:BH100" si="107">IF(D69="EV",IF(Y69="","",Y69),IF(Z69="","",Z69*TAT_LHV_kWhL))</f>
        <v/>
      </c>
      <c r="BI69" s="14">
        <f t="shared" ref="BI69:BI100" si="108">IF(TAT_Cal_Apply="Yes",IF(D69="EV",TAT_CF_EV,TAT_CF_D),1)</f>
        <v>1</v>
      </c>
      <c r="BJ69" s="14">
        <f t="shared" si="63"/>
        <v>274.62898957824655</v>
      </c>
      <c r="BK69" s="14">
        <f t="shared" ref="BK69:BK112" si="109">BJ69*3.6</f>
        <v>988.66436248168759</v>
      </c>
      <c r="BL69" s="14" t="str">
        <f t="shared" ref="BL69:BL100" si="110">IF(D69="EV","",BJ69/TAT_LHV_kWhL)</f>
        <v/>
      </c>
      <c r="BM69" s="14">
        <f t="shared" ref="BM69:BM100" si="111">IF(D69="EV",BJ69/TAT_EtaCharger,"")</f>
        <v>298.50977128070275</v>
      </c>
      <c r="BN69" s="14">
        <f t="shared" si="64"/>
        <v>0.85742514436576278</v>
      </c>
      <c r="BO69" s="14">
        <f t="shared" si="65"/>
        <v>1.166282568887923</v>
      </c>
      <c r="BP69" s="14" t="str">
        <f t="shared" si="66"/>
        <v/>
      </c>
      <c r="BQ69" s="22">
        <f t="shared" si="67"/>
        <v>0.78699649129172822</v>
      </c>
      <c r="BR69" s="14">
        <f t="shared" ref="BR69:BR100" si="112">IF(D69="EV",BM69*TAT_Tariff_EV,BL69*TAT_Price_Diesel)</f>
        <v>2835.8428271666762</v>
      </c>
      <c r="BS69" s="14">
        <f t="shared" ref="BS69:BS100" si="113">IF(D69="EV",BM69*TAT_EF_Grid,BL69*TAT_EF_Diesel)</f>
        <v>211.94193760929895</v>
      </c>
      <c r="BT69" s="14">
        <f t="shared" si="68"/>
        <v>8.8538465994290707</v>
      </c>
      <c r="BU69" s="14">
        <f t="shared" si="69"/>
        <v>0.66170853532575158</v>
      </c>
      <c r="BV69" s="22" t="str">
        <f t="shared" si="70"/>
        <v/>
      </c>
      <c r="BW69" s="14">
        <f t="shared" si="71"/>
        <v>0.85742514436576278</v>
      </c>
      <c r="BX69" s="14" t="e">
        <f t="shared" si="72"/>
        <v>#N/A</v>
      </c>
    </row>
    <row r="70" spans="1:76" x14ac:dyDescent="0.25">
      <c r="A70" s="12" t="s">
        <v>521</v>
      </c>
      <c r="B70" s="12" t="s">
        <v>205</v>
      </c>
      <c r="C70" s="15">
        <v>46270</v>
      </c>
      <c r="D70" s="12" t="s">
        <v>457</v>
      </c>
      <c r="E70" s="12" t="s">
        <v>35</v>
      </c>
      <c r="F70" s="12" t="s">
        <v>55</v>
      </c>
      <c r="G70" s="16">
        <v>0.97060185185185188</v>
      </c>
      <c r="H70" s="14">
        <v>0</v>
      </c>
      <c r="I70" s="14">
        <v>16.43333333333333</v>
      </c>
      <c r="J70" s="14">
        <v>8.7333333333333325</v>
      </c>
      <c r="K70" s="14">
        <v>5.083333333333333</v>
      </c>
      <c r="L70" s="14">
        <v>63.81666666666667</v>
      </c>
      <c r="M70" s="14">
        <v>46.866666666666667</v>
      </c>
      <c r="N70" s="14">
        <v>176.3828666666667</v>
      </c>
      <c r="O70" s="14">
        <v>0</v>
      </c>
      <c r="P70" s="14">
        <v>8.3882197240028836E-2</v>
      </c>
      <c r="Q70" s="14">
        <v>4.6840289826681099E-2</v>
      </c>
      <c r="R70" s="14">
        <v>0.24952844734976529</v>
      </c>
      <c r="S70" s="14">
        <v>61.459796257234032</v>
      </c>
      <c r="T70" s="14">
        <v>46.932577465389251</v>
      </c>
      <c r="U70" s="14">
        <v>212.15760828628709</v>
      </c>
      <c r="V70" s="18"/>
      <c r="W70" s="18"/>
      <c r="X70" s="18"/>
      <c r="Y70" s="18"/>
      <c r="Z70" s="18"/>
      <c r="AA70" s="14" t="str">
        <f>IF(AND(D70&lt;&gt;"EV",D70&lt;&gt;"Diesel"),"Invalid vehicle",IF(COUNTIFS(Routes[Corridor],E70,Routes[Direction],F70)=0,"Unknown route",IF(C70="","Missing date",IF(SUM(O70:U70)&lt;=0,"No distance","OK"))))</f>
        <v>OK</v>
      </c>
      <c r="AB70" s="17">
        <f t="shared" ref="AB70:AB112" si="114">IF(C70="","",DATE(YEAR(C70),MONTH(C70),1))</f>
        <v>46266</v>
      </c>
      <c r="AC70" s="14">
        <f>--(COUNTIFS($C$5:C70,C70,$D$5:D70,D70,$G$5:G70,G70,$F$5:F70,F70)=1)</f>
        <v>1</v>
      </c>
      <c r="AD70" s="14">
        <f t="shared" si="93"/>
        <v>1</v>
      </c>
      <c r="AE70" s="14">
        <f t="shared" si="94"/>
        <v>1</v>
      </c>
      <c r="AF70" s="14">
        <f t="shared" ref="AF70:AF112" si="115">AD70*AE70</f>
        <v>1</v>
      </c>
      <c r="AG70" s="14">
        <f>SUMIFS(Routes[Net elevation (m)],Routes[Corridor],E70,Routes[Direction],F70)</f>
        <v>-885</v>
      </c>
      <c r="AH70" s="14">
        <f t="shared" si="95"/>
        <v>14500</v>
      </c>
      <c r="AI70" s="14">
        <f t="shared" si="96"/>
        <v>0.25</v>
      </c>
      <c r="AJ70" s="14">
        <f t="shared" si="97"/>
        <v>8.1</v>
      </c>
      <c r="AK70" s="14">
        <f t="shared" ref="AK70:AK112" si="116">SUM(O70:U70)</f>
        <v>320.93023294332681</v>
      </c>
      <c r="AL70" s="14">
        <f t="shared" ref="AL70:AL112" si="117">SUM(H70:N70)/60</f>
        <v>5.2886033333333335</v>
      </c>
      <c r="AM70" s="14">
        <f t="shared" ref="AM70:AM112" si="118">SUM(I70:N70)/60</f>
        <v>5.2886033333333335</v>
      </c>
      <c r="AN70" s="14">
        <f t="shared" ref="AN70:AN112" si="119">SUM(I70:J70)/60</f>
        <v>0.4194444444444444</v>
      </c>
      <c r="AO70" s="14">
        <f t="shared" ref="AO70:AO112" si="120">SUM(K70:N70)/60</f>
        <v>4.8691588888888893</v>
      </c>
      <c r="AP70" s="14">
        <f t="shared" ref="AP70:AP112" si="121">IFERROR(SUM(R70:U70)/AO70,0)</f>
        <v>65.883968417687953</v>
      </c>
      <c r="AQ70" s="14">
        <f t="shared" ref="AQ70:AQ112" si="122">IFERROR(R70/(K70/60),0)</f>
        <v>2.945253804784115</v>
      </c>
      <c r="AR70" s="14">
        <f t="shared" ref="AR70:AR112" si="123">IFERROR(S70/(L70/60),0)</f>
        <v>57.784086321766132</v>
      </c>
      <c r="AS70" s="14">
        <f t="shared" ref="AS70:AS112" si="124">IFERROR(T70/(M70/60),0)</f>
        <v>60.084380823400181</v>
      </c>
      <c r="AT70" s="14">
        <f t="shared" ref="AT70:AT112" si="125">IFERROR(U70/(N70/60),0)</f>
        <v>72.169461454743839</v>
      </c>
      <c r="AU70" s="14">
        <f t="shared" si="98"/>
        <v>164.09587939167014</v>
      </c>
      <c r="AV70" s="14">
        <f t="shared" si="99"/>
        <v>24.401048422654803</v>
      </c>
      <c r="AW70" s="14">
        <f t="shared" ref="AW70:AW112" si="126">AH70*AI70*S70/3600</f>
        <v>61.88660039790927</v>
      </c>
      <c r="AX70" s="14">
        <f t="shared" si="100"/>
        <v>-34.968562499999997</v>
      </c>
      <c r="AY70" s="14">
        <f t="shared" ref="AY70:AY112" si="127">AU70+MAX(0,AV70-AW70)</f>
        <v>164.09587939167014</v>
      </c>
      <c r="AZ70" s="14">
        <f t="shared" si="101"/>
        <v>-17.484281249999999</v>
      </c>
      <c r="BA70" s="14">
        <f t="shared" si="102"/>
        <v>54.969833225254462</v>
      </c>
      <c r="BB70" s="14">
        <f t="shared" ref="BB70:BB112" si="128">MAX(0,AY70+AW70+AZ70)</f>
        <v>208.49819853957939</v>
      </c>
      <c r="BC70" s="14">
        <f t="shared" si="103"/>
        <v>647.50993335273097</v>
      </c>
      <c r="BD70" s="14">
        <f t="shared" si="104"/>
        <v>112.68624857142858</v>
      </c>
      <c r="BE70" s="14">
        <f t="shared" si="105"/>
        <v>10.456983024691356</v>
      </c>
      <c r="BF70" s="14">
        <f t="shared" si="106"/>
        <v>0</v>
      </c>
      <c r="BG70" s="14">
        <f t="shared" ref="BG70:BG112" si="129">BC70+BD70+BE70-BF70</f>
        <v>770.65316494885087</v>
      </c>
      <c r="BH70" s="14" t="str">
        <f t="shared" si="107"/>
        <v/>
      </c>
      <c r="BI70" s="14">
        <f t="shared" si="108"/>
        <v>1</v>
      </c>
      <c r="BJ70" s="14">
        <f t="shared" ref="BJ70:BJ112" si="130">BG70*BI70</f>
        <v>770.65316494885087</v>
      </c>
      <c r="BK70" s="14">
        <f t="shared" si="109"/>
        <v>2774.351393815863</v>
      </c>
      <c r="BL70" s="14">
        <f t="shared" si="110"/>
        <v>77.279983114648005</v>
      </c>
      <c r="BM70" s="14" t="str">
        <f t="shared" si="111"/>
        <v/>
      </c>
      <c r="BN70" s="14">
        <f t="shared" ref="BN70:BN112" si="131">IFERROR(BJ70/AK70,"")</f>
        <v>2.4013105835527213</v>
      </c>
      <c r="BO70" s="14">
        <f t="shared" ref="BO70:BO112" si="132">IFERROR(AK70/BJ70,"")</f>
        <v>0.4164392589818629</v>
      </c>
      <c r="BP70" s="14">
        <f t="shared" ref="BP70:BP112" si="133">IF(D70="EV","",IFERROR(AK70/BL70,""))</f>
        <v>4.1528248326246882</v>
      </c>
      <c r="BQ70" s="22">
        <f t="shared" ref="BQ70:BQ112" si="134">IFERROR(BB70/BJ70,"")</f>
        <v>0.27054738502685272</v>
      </c>
      <c r="BR70" s="14">
        <f t="shared" si="112"/>
        <v>7109.7584465476166</v>
      </c>
      <c r="BS70" s="14">
        <f t="shared" si="113"/>
        <v>207.11035474725665</v>
      </c>
      <c r="BT70" s="14">
        <f t="shared" ref="BT70:BT112" si="135">IFERROR(BR70/AK70,"")</f>
        <v>22.153595132943213</v>
      </c>
      <c r="BU70" s="14">
        <f t="shared" ref="BU70:BU112" si="136">IFERROR(BS70/AK70,"")</f>
        <v>0.64534385822051965</v>
      </c>
      <c r="BV70" s="22" t="str">
        <f t="shared" ref="BV70:BV112" si="137">IF(AND(ISNUMBER(BH70),BH70&gt;0),BG70/BH70-1,"")</f>
        <v/>
      </c>
      <c r="BW70" s="14" t="e">
        <f t="shared" ref="BW70:BW112" si="138">IF(AND(AF70=1,D70="EV"),BN70,NA())</f>
        <v>#N/A</v>
      </c>
      <c r="BX70" s="14">
        <f t="shared" ref="BX70:BX112" si="139">IF(AND(AF70=1,D70="Diesel"),BN70,NA())</f>
        <v>2.4013105835527213</v>
      </c>
    </row>
    <row r="71" spans="1:76" x14ac:dyDescent="0.25">
      <c r="A71" s="12" t="s">
        <v>522</v>
      </c>
      <c r="B71" s="12" t="s">
        <v>210</v>
      </c>
      <c r="C71" s="15">
        <v>46223</v>
      </c>
      <c r="D71" s="12" t="s">
        <v>300</v>
      </c>
      <c r="E71" s="12" t="s">
        <v>29</v>
      </c>
      <c r="F71" s="12" t="s">
        <v>52</v>
      </c>
      <c r="G71" s="16">
        <v>0.59369212962962958</v>
      </c>
      <c r="H71" s="14">
        <v>0</v>
      </c>
      <c r="I71" s="14">
        <v>34.497033333333327</v>
      </c>
      <c r="J71" s="14">
        <v>3.6833333333333331</v>
      </c>
      <c r="K71" s="14">
        <v>7.35</v>
      </c>
      <c r="L71" s="14">
        <v>57.55</v>
      </c>
      <c r="M71" s="14">
        <v>37.366666666666667</v>
      </c>
      <c r="N71" s="14">
        <v>112.4</v>
      </c>
      <c r="O71" s="14">
        <v>0</v>
      </c>
      <c r="P71" s="14">
        <v>0.53888783763546344</v>
      </c>
      <c r="Q71" s="14">
        <v>0.55895774646599539</v>
      </c>
      <c r="R71" s="14">
        <v>0.67988509001220443</v>
      </c>
      <c r="S71" s="14">
        <v>44.665977960802778</v>
      </c>
      <c r="T71" s="14">
        <v>29.461790710784889</v>
      </c>
      <c r="U71" s="14">
        <v>76.489180134545222</v>
      </c>
      <c r="V71" s="18"/>
      <c r="W71" s="18"/>
      <c r="X71" s="18"/>
      <c r="Y71" s="18"/>
      <c r="Z71" s="18"/>
      <c r="AA71" s="14" t="str">
        <f>IF(AND(D71&lt;&gt;"EV",D71&lt;&gt;"Diesel"),"Invalid vehicle",IF(COUNTIFS(Routes[Corridor],E71,Routes[Direction],F71)=0,"Unknown route",IF(C71="","Missing date",IF(SUM(O71:U71)&lt;=0,"No distance","OK"))))</f>
        <v>OK</v>
      </c>
      <c r="AB71" s="17">
        <f t="shared" si="114"/>
        <v>46204</v>
      </c>
      <c r="AC71" s="14">
        <f>--(COUNTIFS($C$5:C71,C71,$D$5:D71,D71,$G$5:G71,G71,$F$5:F71,F71)=1)</f>
        <v>0</v>
      </c>
      <c r="AD71" s="14">
        <f t="shared" si="93"/>
        <v>0</v>
      </c>
      <c r="AE71" s="14">
        <f t="shared" si="94"/>
        <v>1</v>
      </c>
      <c r="AF71" s="14">
        <f t="shared" si="115"/>
        <v>0</v>
      </c>
      <c r="AG71" s="14">
        <f>SUMIFS(Routes[Net elevation (m)],Routes[Corridor],E71,Routes[Direction],F71)</f>
        <v>5</v>
      </c>
      <c r="AH71" s="14">
        <f t="shared" si="95"/>
        <v>16500</v>
      </c>
      <c r="AI71" s="14">
        <f t="shared" si="96"/>
        <v>0.25</v>
      </c>
      <c r="AJ71" s="14">
        <f t="shared" si="97"/>
        <v>8.1</v>
      </c>
      <c r="AK71" s="14">
        <f t="shared" si="116"/>
        <v>152.39467948024657</v>
      </c>
      <c r="AL71" s="14">
        <f t="shared" si="117"/>
        <v>4.2141172222222227</v>
      </c>
      <c r="AM71" s="14">
        <f t="shared" si="118"/>
        <v>4.2141172222222227</v>
      </c>
      <c r="AN71" s="14">
        <f t="shared" si="119"/>
        <v>0.63633944444444424</v>
      </c>
      <c r="AO71" s="14">
        <f t="shared" si="120"/>
        <v>3.5777777777777775</v>
      </c>
      <c r="AP71" s="14">
        <f t="shared" si="121"/>
        <v>42.287934939916333</v>
      </c>
      <c r="AQ71" s="14">
        <f t="shared" si="122"/>
        <v>5.5500823674465671</v>
      </c>
      <c r="AR71" s="14">
        <f t="shared" si="123"/>
        <v>46.567483538630178</v>
      </c>
      <c r="AS71" s="14">
        <f t="shared" si="124"/>
        <v>47.307068045863339</v>
      </c>
      <c r="AT71" s="14">
        <f t="shared" si="125"/>
        <v>40.83052320349389</v>
      </c>
      <c r="AU71" s="14">
        <f t="shared" si="98"/>
        <v>53.81642769183582</v>
      </c>
      <c r="AV71" s="14">
        <f t="shared" si="99"/>
        <v>13.716821152686199</v>
      </c>
      <c r="AW71" s="14">
        <f t="shared" si="126"/>
        <v>51.179766413419848</v>
      </c>
      <c r="AX71" s="14">
        <f t="shared" si="100"/>
        <v>0.2248125</v>
      </c>
      <c r="AY71" s="14">
        <f t="shared" si="127"/>
        <v>53.81642769183582</v>
      </c>
      <c r="AZ71" s="14">
        <f t="shared" si="101"/>
        <v>0.2248125</v>
      </c>
      <c r="BA71" s="14">
        <f t="shared" si="102"/>
        <v>37.462945260733648</v>
      </c>
      <c r="BB71" s="14">
        <f t="shared" si="128"/>
        <v>105.22100660525567</v>
      </c>
      <c r="BC71" s="14">
        <f t="shared" si="103"/>
        <v>126.87165443450374</v>
      </c>
      <c r="BD71" s="14">
        <f t="shared" si="104"/>
        <v>34.134349500000006</v>
      </c>
      <c r="BE71" s="14">
        <f t="shared" si="105"/>
        <v>0</v>
      </c>
      <c r="BF71" s="14">
        <f t="shared" si="106"/>
        <v>18.641936191193668</v>
      </c>
      <c r="BG71" s="14">
        <f t="shared" si="129"/>
        <v>142.36406774331007</v>
      </c>
      <c r="BH71" s="14" t="str">
        <f t="shared" si="107"/>
        <v/>
      </c>
      <c r="BI71" s="14">
        <f t="shared" si="108"/>
        <v>1</v>
      </c>
      <c r="BJ71" s="14">
        <f t="shared" si="130"/>
        <v>142.36406774331007</v>
      </c>
      <c r="BK71" s="14">
        <f t="shared" si="109"/>
        <v>512.51064387591623</v>
      </c>
      <c r="BL71" s="14" t="str">
        <f t="shared" si="110"/>
        <v/>
      </c>
      <c r="BM71" s="14">
        <f t="shared" si="111"/>
        <v>154.74355189490225</v>
      </c>
      <c r="BN71" s="14">
        <f t="shared" si="131"/>
        <v>0.93418003980751396</v>
      </c>
      <c r="BO71" s="14">
        <f t="shared" si="132"/>
        <v>1.0704574679266836</v>
      </c>
      <c r="BP71" s="14" t="str">
        <f t="shared" si="133"/>
        <v/>
      </c>
      <c r="BQ71" s="22">
        <f t="shared" si="134"/>
        <v>0.73909806226508434</v>
      </c>
      <c r="BR71" s="14">
        <f t="shared" si="112"/>
        <v>1470.0637430015713</v>
      </c>
      <c r="BS71" s="14">
        <f t="shared" si="113"/>
        <v>109.86792184538059</v>
      </c>
      <c r="BT71" s="14">
        <f t="shared" si="135"/>
        <v>9.6464243240993284</v>
      </c>
      <c r="BU71" s="14">
        <f t="shared" si="136"/>
        <v>0.72094329159058146</v>
      </c>
      <c r="BV71" s="22" t="str">
        <f t="shared" si="137"/>
        <v/>
      </c>
      <c r="BW71" s="14" t="e">
        <f t="shared" si="138"/>
        <v>#N/A</v>
      </c>
      <c r="BX71" s="14" t="e">
        <f t="shared" si="139"/>
        <v>#N/A</v>
      </c>
    </row>
    <row r="72" spans="1:76" x14ac:dyDescent="0.25">
      <c r="A72" s="12" t="s">
        <v>523</v>
      </c>
      <c r="B72" s="12" t="s">
        <v>210</v>
      </c>
      <c r="C72" s="15">
        <v>46291</v>
      </c>
      <c r="D72" s="12" t="s">
        <v>457</v>
      </c>
      <c r="E72" s="12" t="s">
        <v>29</v>
      </c>
      <c r="F72" s="12" t="s">
        <v>52</v>
      </c>
      <c r="G72" s="16">
        <v>0.67787037037037035</v>
      </c>
      <c r="H72" s="14">
        <v>0</v>
      </c>
      <c r="I72" s="14">
        <v>26.333333333333329</v>
      </c>
      <c r="J72" s="14">
        <v>10.016666666666669</v>
      </c>
      <c r="K72" s="14">
        <v>14.483333333333331</v>
      </c>
      <c r="L72" s="14">
        <v>52.6</v>
      </c>
      <c r="M72" s="14">
        <v>42.233333333333327</v>
      </c>
      <c r="N72" s="14">
        <v>146.08333333333329</v>
      </c>
      <c r="O72" s="14">
        <v>0</v>
      </c>
      <c r="P72" s="14">
        <v>0.32127343254929702</v>
      </c>
      <c r="Q72" s="14">
        <v>0.5256426997626461</v>
      </c>
      <c r="R72" s="14">
        <v>1.2222826160609359</v>
      </c>
      <c r="S72" s="14">
        <v>30.18268163700424</v>
      </c>
      <c r="T72" s="14">
        <v>24.87772879183483</v>
      </c>
      <c r="U72" s="14">
        <v>96.902750674201656</v>
      </c>
      <c r="V72" s="18"/>
      <c r="W72" s="18"/>
      <c r="X72" s="18"/>
      <c r="Y72" s="18"/>
      <c r="Z72" s="18"/>
      <c r="AA72" s="14" t="str">
        <f>IF(AND(D72&lt;&gt;"EV",D72&lt;&gt;"Diesel"),"Invalid vehicle",IF(COUNTIFS(Routes[Corridor],E72,Routes[Direction],F72)=0,"Unknown route",IF(C72="","Missing date",IF(SUM(O72:U72)&lt;=0,"No distance","OK"))))</f>
        <v>OK</v>
      </c>
      <c r="AB72" s="17">
        <f t="shared" si="114"/>
        <v>46266</v>
      </c>
      <c r="AC72" s="14">
        <f>--(COUNTIFS($C$5:C72,C72,$D$5:D72,D72,$G$5:G72,G72,$F$5:F72,F72)=1)</f>
        <v>0</v>
      </c>
      <c r="AD72" s="14">
        <f t="shared" si="93"/>
        <v>0</v>
      </c>
      <c r="AE72" s="14">
        <f t="shared" si="94"/>
        <v>1</v>
      </c>
      <c r="AF72" s="14">
        <f t="shared" si="115"/>
        <v>0</v>
      </c>
      <c r="AG72" s="14">
        <f>SUMIFS(Routes[Net elevation (m)],Routes[Corridor],E72,Routes[Direction],F72)</f>
        <v>5</v>
      </c>
      <c r="AH72" s="14">
        <f t="shared" si="95"/>
        <v>14500</v>
      </c>
      <c r="AI72" s="14">
        <f t="shared" si="96"/>
        <v>0.25</v>
      </c>
      <c r="AJ72" s="14">
        <f t="shared" si="97"/>
        <v>8.1</v>
      </c>
      <c r="AK72" s="14">
        <f t="shared" si="116"/>
        <v>154.03235985141362</v>
      </c>
      <c r="AL72" s="14">
        <f t="shared" si="117"/>
        <v>4.8624999999999989</v>
      </c>
      <c r="AM72" s="14">
        <f t="shared" si="118"/>
        <v>4.8624999999999989</v>
      </c>
      <c r="AN72" s="14">
        <f t="shared" si="119"/>
        <v>0.60583333333333322</v>
      </c>
      <c r="AO72" s="14">
        <f t="shared" si="120"/>
        <v>4.2566666666666659</v>
      </c>
      <c r="AP72" s="14">
        <f t="shared" si="121"/>
        <v>35.987183332600239</v>
      </c>
      <c r="AQ72" s="14">
        <f t="shared" si="122"/>
        <v>5.0635413323583087</v>
      </c>
      <c r="AR72" s="14">
        <f t="shared" si="123"/>
        <v>34.428914414833734</v>
      </c>
      <c r="AS72" s="14">
        <f t="shared" si="124"/>
        <v>35.343261109157616</v>
      </c>
      <c r="AT72" s="14">
        <f t="shared" si="125"/>
        <v>39.800331138291625</v>
      </c>
      <c r="AU72" s="14">
        <f t="shared" si="98"/>
        <v>48.482315090517851</v>
      </c>
      <c r="AV72" s="14">
        <f t="shared" si="99"/>
        <v>8.9754427034016437</v>
      </c>
      <c r="AW72" s="14">
        <f t="shared" si="126"/>
        <v>30.392283592816767</v>
      </c>
      <c r="AX72" s="14">
        <f t="shared" si="100"/>
        <v>0.1975625</v>
      </c>
      <c r="AY72" s="14">
        <f t="shared" si="127"/>
        <v>48.482315090517851</v>
      </c>
      <c r="AZ72" s="14">
        <f t="shared" si="101"/>
        <v>0.1975625</v>
      </c>
      <c r="BA72" s="14">
        <f t="shared" si="102"/>
        <v>21.416840889415123</v>
      </c>
      <c r="BB72" s="14">
        <f t="shared" si="128"/>
        <v>79.072161183334629</v>
      </c>
      <c r="BC72" s="14">
        <f t="shared" si="103"/>
        <v>245.56571796066655</v>
      </c>
      <c r="BD72" s="14">
        <f t="shared" si="104"/>
        <v>98.511428571428553</v>
      </c>
      <c r="BE72" s="14">
        <f t="shared" si="105"/>
        <v>15.103761574074069</v>
      </c>
      <c r="BF72" s="14">
        <f t="shared" si="106"/>
        <v>0</v>
      </c>
      <c r="BG72" s="14">
        <f t="shared" si="129"/>
        <v>359.18090810616911</v>
      </c>
      <c r="BH72" s="14" t="str">
        <f t="shared" si="107"/>
        <v/>
      </c>
      <c r="BI72" s="14">
        <f t="shared" si="108"/>
        <v>1</v>
      </c>
      <c r="BJ72" s="14">
        <f t="shared" si="130"/>
        <v>359.18090810616911</v>
      </c>
      <c r="BK72" s="14">
        <f t="shared" si="109"/>
        <v>1293.0512691822089</v>
      </c>
      <c r="BL72" s="14">
        <f t="shared" si="110"/>
        <v>36.018141202847048</v>
      </c>
      <c r="BM72" s="14" t="str">
        <f t="shared" si="111"/>
        <v/>
      </c>
      <c r="BN72" s="14">
        <f t="shared" si="131"/>
        <v>2.3318535692931719</v>
      </c>
      <c r="BO72" s="14">
        <f t="shared" si="132"/>
        <v>0.42884339444312475</v>
      </c>
      <c r="BP72" s="14">
        <f t="shared" si="133"/>
        <v>4.276521627918938</v>
      </c>
      <c r="BQ72" s="22">
        <f t="shared" si="134"/>
        <v>0.22014578002002808</v>
      </c>
      <c r="BR72" s="14">
        <f t="shared" si="112"/>
        <v>3313.6689906619285</v>
      </c>
      <c r="BS72" s="14">
        <f t="shared" si="113"/>
        <v>96.528618423630093</v>
      </c>
      <c r="BT72" s="14">
        <f t="shared" si="135"/>
        <v>21.512810644843974</v>
      </c>
      <c r="BU72" s="14">
        <f t="shared" si="136"/>
        <v>0.62667752748023753</v>
      </c>
      <c r="BV72" s="22" t="str">
        <f t="shared" si="137"/>
        <v/>
      </c>
      <c r="BW72" s="14" t="e">
        <f t="shared" si="138"/>
        <v>#N/A</v>
      </c>
      <c r="BX72" s="14" t="e">
        <f t="shared" si="139"/>
        <v>#N/A</v>
      </c>
    </row>
    <row r="73" spans="1:76" x14ac:dyDescent="0.25">
      <c r="A73" s="12" t="s">
        <v>524</v>
      </c>
      <c r="B73" s="12" t="s">
        <v>212</v>
      </c>
      <c r="C73" s="15">
        <v>46291</v>
      </c>
      <c r="D73" s="12" t="s">
        <v>300</v>
      </c>
      <c r="E73" s="12" t="s">
        <v>29</v>
      </c>
      <c r="F73" s="12" t="s">
        <v>52</v>
      </c>
      <c r="G73" s="16">
        <v>0.63822916666666663</v>
      </c>
      <c r="H73" s="14">
        <v>0</v>
      </c>
      <c r="I73" s="14">
        <v>20.65</v>
      </c>
      <c r="J73" s="14">
        <v>8.668333333333333</v>
      </c>
      <c r="K73" s="14">
        <v>2.9833333333333329</v>
      </c>
      <c r="L73" s="14">
        <v>56.783333333333331</v>
      </c>
      <c r="M73" s="14">
        <v>43.369783333333331</v>
      </c>
      <c r="N73" s="14">
        <v>62.483333333333327</v>
      </c>
      <c r="O73" s="14">
        <v>0</v>
      </c>
      <c r="P73" s="14">
        <v>7.0507928329398672E-2</v>
      </c>
      <c r="Q73" s="14">
        <v>0.1448841273528465</v>
      </c>
      <c r="R73" s="14">
        <v>0.25921076400223497</v>
      </c>
      <c r="S73" s="14">
        <v>43.798166138630357</v>
      </c>
      <c r="T73" s="14">
        <v>31.327707045503551</v>
      </c>
      <c r="U73" s="14">
        <v>50.141193298572247</v>
      </c>
      <c r="V73" s="18"/>
      <c r="W73" s="18"/>
      <c r="X73" s="18"/>
      <c r="Y73" s="18"/>
      <c r="Z73" s="18"/>
      <c r="AA73" s="14" t="str">
        <f>IF(AND(D73&lt;&gt;"EV",D73&lt;&gt;"Diesel"),"Invalid vehicle",IF(COUNTIFS(Routes[Corridor],E73,Routes[Direction],F73)=0,"Unknown route",IF(C73="","Missing date",IF(SUM(O73:U73)&lt;=0,"No distance","OK"))))</f>
        <v>OK</v>
      </c>
      <c r="AB73" s="17">
        <f t="shared" si="114"/>
        <v>46266</v>
      </c>
      <c r="AC73" s="14">
        <f>--(COUNTIFS($C$5:C73,C73,$D$5:D73,D73,$G$5:G73,G73,$F$5:F73,F73)=1)</f>
        <v>1</v>
      </c>
      <c r="AD73" s="14">
        <f t="shared" si="93"/>
        <v>0</v>
      </c>
      <c r="AE73" s="14">
        <f t="shared" si="94"/>
        <v>1</v>
      </c>
      <c r="AF73" s="14">
        <f t="shared" si="115"/>
        <v>0</v>
      </c>
      <c r="AG73" s="14">
        <f>SUMIFS(Routes[Net elevation (m)],Routes[Corridor],E73,Routes[Direction],F73)</f>
        <v>5</v>
      </c>
      <c r="AH73" s="14">
        <f t="shared" si="95"/>
        <v>16500</v>
      </c>
      <c r="AI73" s="14">
        <f t="shared" si="96"/>
        <v>0.25</v>
      </c>
      <c r="AJ73" s="14">
        <f t="shared" si="97"/>
        <v>8.1</v>
      </c>
      <c r="AK73" s="14">
        <f t="shared" si="116"/>
        <v>125.74166930239063</v>
      </c>
      <c r="AL73" s="14">
        <f t="shared" si="117"/>
        <v>3.2489686111111107</v>
      </c>
      <c r="AM73" s="14">
        <f t="shared" si="118"/>
        <v>3.2489686111111107</v>
      </c>
      <c r="AN73" s="14">
        <f t="shared" si="119"/>
        <v>0.48863888888888884</v>
      </c>
      <c r="AO73" s="14">
        <f t="shared" si="120"/>
        <v>2.7603297222222221</v>
      </c>
      <c r="AP73" s="14">
        <f t="shared" si="121"/>
        <v>45.47510257059168</v>
      </c>
      <c r="AQ73" s="14">
        <f t="shared" si="122"/>
        <v>5.213177376581263</v>
      </c>
      <c r="AR73" s="14">
        <f t="shared" si="123"/>
        <v>46.279248047863014</v>
      </c>
      <c r="AS73" s="14">
        <f t="shared" si="124"/>
        <v>43.340369221663465</v>
      </c>
      <c r="AT73" s="14">
        <f t="shared" si="125"/>
        <v>48.148385135998964</v>
      </c>
      <c r="AU73" s="14">
        <f t="shared" si="98"/>
        <v>43.873589803560769</v>
      </c>
      <c r="AV73" s="14">
        <f t="shared" si="99"/>
        <v>13.826304022306111</v>
      </c>
      <c r="AW73" s="14">
        <f t="shared" si="126"/>
        <v>50.185398700513957</v>
      </c>
      <c r="AX73" s="14">
        <f t="shared" si="100"/>
        <v>0.2248125</v>
      </c>
      <c r="AY73" s="14">
        <f t="shared" si="127"/>
        <v>43.873589803560769</v>
      </c>
      <c r="AZ73" s="14">
        <f t="shared" si="101"/>
        <v>0.2248125</v>
      </c>
      <c r="BA73" s="14">
        <f t="shared" si="102"/>
        <v>36.359094678207846</v>
      </c>
      <c r="BB73" s="14">
        <f t="shared" si="128"/>
        <v>94.283801004074732</v>
      </c>
      <c r="BC73" s="14">
        <f t="shared" si="103"/>
        <v>113.68397058428256</v>
      </c>
      <c r="BD73" s="14">
        <f t="shared" si="104"/>
        <v>26.316645749999996</v>
      </c>
      <c r="BE73" s="14">
        <f t="shared" si="105"/>
        <v>0</v>
      </c>
      <c r="BF73" s="14">
        <f t="shared" si="106"/>
        <v>18.092649102823003</v>
      </c>
      <c r="BG73" s="14">
        <f t="shared" si="129"/>
        <v>121.90796723145957</v>
      </c>
      <c r="BH73" s="14" t="str">
        <f t="shared" si="107"/>
        <v/>
      </c>
      <c r="BI73" s="14">
        <f t="shared" si="108"/>
        <v>1</v>
      </c>
      <c r="BJ73" s="14">
        <f t="shared" si="130"/>
        <v>121.90796723145957</v>
      </c>
      <c r="BK73" s="14">
        <f t="shared" si="109"/>
        <v>438.86868203325446</v>
      </c>
      <c r="BL73" s="14" t="str">
        <f t="shared" si="110"/>
        <v/>
      </c>
      <c r="BM73" s="14">
        <f t="shared" si="111"/>
        <v>132.50866003419517</v>
      </c>
      <c r="BN73" s="14">
        <f t="shared" si="131"/>
        <v>0.96951128379160001</v>
      </c>
      <c r="BO73" s="14">
        <f t="shared" si="132"/>
        <v>1.0314475104293408</v>
      </c>
      <c r="BP73" s="14" t="str">
        <f t="shared" si="133"/>
        <v/>
      </c>
      <c r="BQ73" s="22">
        <f t="shared" si="134"/>
        <v>0.77340146952875988</v>
      </c>
      <c r="BR73" s="14">
        <f t="shared" si="112"/>
        <v>1258.8322703248541</v>
      </c>
      <c r="BS73" s="14">
        <f t="shared" si="113"/>
        <v>94.081148624278569</v>
      </c>
      <c r="BT73" s="14">
        <f t="shared" si="135"/>
        <v>10.011257821761086</v>
      </c>
      <c r="BU73" s="14">
        <f t="shared" si="136"/>
        <v>0.74820979510003904</v>
      </c>
      <c r="BV73" s="22" t="str">
        <f t="shared" si="137"/>
        <v/>
      </c>
      <c r="BW73" s="14" t="e">
        <f t="shared" si="138"/>
        <v>#N/A</v>
      </c>
      <c r="BX73" s="14" t="e">
        <f t="shared" si="139"/>
        <v>#N/A</v>
      </c>
    </row>
    <row r="74" spans="1:76" x14ac:dyDescent="0.25">
      <c r="A74" s="12" t="s">
        <v>525</v>
      </c>
      <c r="B74" s="12" t="s">
        <v>212</v>
      </c>
      <c r="C74" s="15">
        <v>46223</v>
      </c>
      <c r="D74" s="12" t="s">
        <v>457</v>
      </c>
      <c r="E74" s="12" t="s">
        <v>29</v>
      </c>
      <c r="F74" s="12" t="s">
        <v>52</v>
      </c>
      <c r="G74" s="16">
        <v>0.70606481481481487</v>
      </c>
      <c r="H74" s="14">
        <v>0</v>
      </c>
      <c r="I74" s="14">
        <v>21.383333333333329</v>
      </c>
      <c r="J74" s="14">
        <v>1</v>
      </c>
      <c r="K74" s="14">
        <v>0</v>
      </c>
      <c r="L74" s="14">
        <v>39.18333333333333</v>
      </c>
      <c r="M74" s="14">
        <v>30.466666666666669</v>
      </c>
      <c r="N74" s="14">
        <v>102.92506666666669</v>
      </c>
      <c r="O74" s="14">
        <v>0</v>
      </c>
      <c r="P74" s="14">
        <v>0.1090721560237224</v>
      </c>
      <c r="Q74" s="14">
        <v>0.85914424303480363</v>
      </c>
      <c r="R74" s="14">
        <v>0</v>
      </c>
      <c r="S74" s="14">
        <v>28.213201619757211</v>
      </c>
      <c r="T74" s="14">
        <v>20.93633895165053</v>
      </c>
      <c r="U74" s="14">
        <v>73.864623033822284</v>
      </c>
      <c r="V74" s="18"/>
      <c r="W74" s="18"/>
      <c r="X74" s="18"/>
      <c r="Y74" s="18"/>
      <c r="Z74" s="18"/>
      <c r="AA74" s="14" t="str">
        <f>IF(AND(D74&lt;&gt;"EV",D74&lt;&gt;"Diesel"),"Invalid vehicle",IF(COUNTIFS(Routes[Corridor],E74,Routes[Direction],F74)=0,"Unknown route",IF(C74="","Missing date",IF(SUM(O74:U74)&lt;=0,"No distance","OK"))))</f>
        <v>OK</v>
      </c>
      <c r="AB74" s="17">
        <f t="shared" si="114"/>
        <v>46204</v>
      </c>
      <c r="AC74" s="14">
        <f>--(COUNTIFS($C$5:C74,C74,$D$5:D74,D74,$G$5:G74,G74,$F$5:F74,F74)=1)</f>
        <v>0</v>
      </c>
      <c r="AD74" s="14">
        <f t="shared" si="93"/>
        <v>0</v>
      </c>
      <c r="AE74" s="14">
        <f t="shared" si="94"/>
        <v>1</v>
      </c>
      <c r="AF74" s="14">
        <f t="shared" si="115"/>
        <v>0</v>
      </c>
      <c r="AG74" s="14">
        <f>SUMIFS(Routes[Net elevation (m)],Routes[Corridor],E74,Routes[Direction],F74)</f>
        <v>5</v>
      </c>
      <c r="AH74" s="14">
        <f t="shared" si="95"/>
        <v>14500</v>
      </c>
      <c r="AI74" s="14">
        <f t="shared" si="96"/>
        <v>0.25</v>
      </c>
      <c r="AJ74" s="14">
        <f t="shared" si="97"/>
        <v>8.1</v>
      </c>
      <c r="AK74" s="14">
        <f t="shared" si="116"/>
        <v>123.98238000428856</v>
      </c>
      <c r="AL74" s="14">
        <f t="shared" si="117"/>
        <v>3.2493066666666675</v>
      </c>
      <c r="AM74" s="14">
        <f t="shared" si="118"/>
        <v>3.2493066666666675</v>
      </c>
      <c r="AN74" s="14">
        <f t="shared" si="119"/>
        <v>0.37305555555555547</v>
      </c>
      <c r="AO74" s="14">
        <f t="shared" si="120"/>
        <v>2.8762511111111118</v>
      </c>
      <c r="AP74" s="14">
        <f t="shared" si="121"/>
        <v>42.768923453873597</v>
      </c>
      <c r="AQ74" s="14">
        <f t="shared" si="122"/>
        <v>0</v>
      </c>
      <c r="AR74" s="14">
        <f t="shared" si="123"/>
        <v>43.201839996225424</v>
      </c>
      <c r="AS74" s="14">
        <f t="shared" si="124"/>
        <v>41.231302092966033</v>
      </c>
      <c r="AT74" s="14">
        <f t="shared" si="125"/>
        <v>43.059261709126922</v>
      </c>
      <c r="AU74" s="14">
        <f t="shared" si="98"/>
        <v>41.281274360544138</v>
      </c>
      <c r="AV74" s="14">
        <f t="shared" si="99"/>
        <v>8.189709274464672</v>
      </c>
      <c r="AW74" s="14">
        <f t="shared" si="126"/>
        <v>28.409126631005524</v>
      </c>
      <c r="AX74" s="14">
        <f t="shared" si="100"/>
        <v>0.1975625</v>
      </c>
      <c r="AY74" s="14">
        <f t="shared" si="127"/>
        <v>41.281274360544138</v>
      </c>
      <c r="AZ74" s="14">
        <f t="shared" si="101"/>
        <v>0.1975625</v>
      </c>
      <c r="BA74" s="14">
        <f t="shared" si="102"/>
        <v>20.219417356540852</v>
      </c>
      <c r="BB74" s="14">
        <f t="shared" si="128"/>
        <v>69.887963491549669</v>
      </c>
      <c r="BC74" s="14">
        <f t="shared" si="103"/>
        <v>217.04336488058902</v>
      </c>
      <c r="BD74" s="14">
        <f t="shared" si="104"/>
        <v>66.564668571428598</v>
      </c>
      <c r="BE74" s="14">
        <f t="shared" si="105"/>
        <v>9.3004822530864164</v>
      </c>
      <c r="BF74" s="14">
        <f t="shared" si="106"/>
        <v>0</v>
      </c>
      <c r="BG74" s="14">
        <f t="shared" si="129"/>
        <v>292.90851570510404</v>
      </c>
      <c r="BH74" s="14" t="str">
        <f t="shared" si="107"/>
        <v/>
      </c>
      <c r="BI74" s="14">
        <f t="shared" si="108"/>
        <v>1</v>
      </c>
      <c r="BJ74" s="14">
        <f t="shared" si="130"/>
        <v>292.90851570510404</v>
      </c>
      <c r="BK74" s="14">
        <f t="shared" si="109"/>
        <v>1054.4706565383747</v>
      </c>
      <c r="BL74" s="14">
        <f t="shared" si="110"/>
        <v>29.372441686305699</v>
      </c>
      <c r="BM74" s="14" t="str">
        <f t="shared" si="111"/>
        <v/>
      </c>
      <c r="BN74" s="14">
        <f t="shared" si="131"/>
        <v>2.3625011529458648</v>
      </c>
      <c r="BO74" s="14">
        <f t="shared" si="132"/>
        <v>0.4232802167114601</v>
      </c>
      <c r="BP74" s="14">
        <f t="shared" si="133"/>
        <v>4.2210443833170608</v>
      </c>
      <c r="BQ74" s="22">
        <f t="shared" si="134"/>
        <v>0.23859997147338605</v>
      </c>
      <c r="BR74" s="14">
        <f t="shared" si="112"/>
        <v>2702.2646351401245</v>
      </c>
      <c r="BS74" s="14">
        <f t="shared" si="113"/>
        <v>78.718143719299277</v>
      </c>
      <c r="BT74" s="14">
        <f t="shared" si="135"/>
        <v>21.795553812135669</v>
      </c>
      <c r="BU74" s="14">
        <f t="shared" si="136"/>
        <v>0.63491395887525637</v>
      </c>
      <c r="BV74" s="22" t="str">
        <f t="shared" si="137"/>
        <v/>
      </c>
      <c r="BW74" s="14" t="e">
        <f t="shared" si="138"/>
        <v>#N/A</v>
      </c>
      <c r="BX74" s="14" t="e">
        <f t="shared" si="139"/>
        <v>#N/A</v>
      </c>
    </row>
    <row r="75" spans="1:76" x14ac:dyDescent="0.25">
      <c r="A75" s="12" t="s">
        <v>526</v>
      </c>
      <c r="B75" s="12" t="s">
        <v>214</v>
      </c>
      <c r="C75" s="15">
        <v>46270</v>
      </c>
      <c r="D75" s="12" t="s">
        <v>300</v>
      </c>
      <c r="E75" s="12" t="s">
        <v>35</v>
      </c>
      <c r="F75" s="12" t="s">
        <v>50</v>
      </c>
      <c r="G75" s="16">
        <v>3.0555555555555557E-3</v>
      </c>
      <c r="H75" s="14">
        <v>40.299999999999997</v>
      </c>
      <c r="I75" s="14">
        <v>46.846666666666671</v>
      </c>
      <c r="J75" s="14">
        <v>23.25</v>
      </c>
      <c r="K75" s="14">
        <v>14.68333333333333</v>
      </c>
      <c r="L75" s="14">
        <v>52.483333333333327</v>
      </c>
      <c r="M75" s="14">
        <v>45.116666666666667</v>
      </c>
      <c r="N75" s="14">
        <v>254.94114999999999</v>
      </c>
      <c r="O75" s="14">
        <v>7.3400927521957676E-2</v>
      </c>
      <c r="P75" s="14">
        <v>0.70180496243028956</v>
      </c>
      <c r="Q75" s="14">
        <v>4.5554317839269158E-2</v>
      </c>
      <c r="R75" s="14">
        <v>1.402436801450748</v>
      </c>
      <c r="S75" s="14">
        <v>43.073610496415832</v>
      </c>
      <c r="T75" s="14">
        <v>38.728575105778127</v>
      </c>
      <c r="U75" s="14">
        <v>242.43273005286389</v>
      </c>
      <c r="V75" s="18"/>
      <c r="W75" s="18"/>
      <c r="X75" s="18"/>
      <c r="Y75" s="18"/>
      <c r="Z75" s="18"/>
      <c r="AA75" s="14" t="str">
        <f>IF(AND(D75&lt;&gt;"EV",D75&lt;&gt;"Diesel"),"Invalid vehicle",IF(COUNTIFS(Routes[Corridor],E75,Routes[Direction],F75)=0,"Unknown route",IF(C75="","Missing date",IF(SUM(O75:U75)&lt;=0,"No distance","OK"))))</f>
        <v>OK</v>
      </c>
      <c r="AB75" s="17">
        <f t="shared" si="114"/>
        <v>46266</v>
      </c>
      <c r="AC75" s="14">
        <f>--(COUNTIFS($C$5:C75,C75,$D$5:D75,D75,$G$5:G75,G75,$F$5:F75,F75)=1)</f>
        <v>1</v>
      </c>
      <c r="AD75" s="14">
        <f t="shared" si="93"/>
        <v>1</v>
      </c>
      <c r="AE75" s="14">
        <f t="shared" si="94"/>
        <v>1</v>
      </c>
      <c r="AF75" s="14">
        <f t="shared" si="115"/>
        <v>1</v>
      </c>
      <c r="AG75" s="14">
        <f>SUMIFS(Routes[Net elevation (m)],Routes[Corridor],E75,Routes[Direction],F75)</f>
        <v>885</v>
      </c>
      <c r="AH75" s="14">
        <f t="shared" si="95"/>
        <v>16500</v>
      </c>
      <c r="AI75" s="14">
        <f t="shared" si="96"/>
        <v>0.25</v>
      </c>
      <c r="AJ75" s="14">
        <f t="shared" si="97"/>
        <v>8.1</v>
      </c>
      <c r="AK75" s="14">
        <f t="shared" si="116"/>
        <v>326.45811266430007</v>
      </c>
      <c r="AL75" s="14">
        <f t="shared" si="117"/>
        <v>7.9603524999999999</v>
      </c>
      <c r="AM75" s="14">
        <f t="shared" si="118"/>
        <v>7.2886858333333331</v>
      </c>
      <c r="AN75" s="14">
        <f t="shared" si="119"/>
        <v>1.1682777777777777</v>
      </c>
      <c r="AO75" s="14">
        <f t="shared" si="120"/>
        <v>6.1204080555555551</v>
      </c>
      <c r="AP75" s="14">
        <f t="shared" si="121"/>
        <v>53.205170227322398</v>
      </c>
      <c r="AQ75" s="14">
        <f t="shared" si="122"/>
        <v>5.7307292681301858</v>
      </c>
      <c r="AR75" s="14">
        <f t="shared" si="123"/>
        <v>49.242616000983496</v>
      </c>
      <c r="AS75" s="14">
        <f t="shared" si="124"/>
        <v>51.504569774954291</v>
      </c>
      <c r="AT75" s="14">
        <f t="shared" si="125"/>
        <v>57.056162973971965</v>
      </c>
      <c r="AU75" s="14">
        <f t="shared" si="98"/>
        <v>150.79692624752826</v>
      </c>
      <c r="AV75" s="14">
        <f t="shared" si="99"/>
        <v>19.113936076968137</v>
      </c>
      <c r="AW75" s="14">
        <f t="shared" si="126"/>
        <v>49.355178693809812</v>
      </c>
      <c r="AX75" s="14">
        <f t="shared" si="100"/>
        <v>39.791812499999999</v>
      </c>
      <c r="AY75" s="14">
        <f t="shared" si="127"/>
        <v>150.79692624752826</v>
      </c>
      <c r="AZ75" s="14">
        <f t="shared" si="101"/>
        <v>39.791812499999999</v>
      </c>
      <c r="BA75" s="14">
        <f t="shared" si="102"/>
        <v>30.241242616841674</v>
      </c>
      <c r="BB75" s="14">
        <f t="shared" si="128"/>
        <v>239.94391744133807</v>
      </c>
      <c r="BC75" s="14">
        <f t="shared" si="103"/>
        <v>289.3156296392815</v>
      </c>
      <c r="BD75" s="14">
        <f t="shared" si="104"/>
        <v>59.038355249999995</v>
      </c>
      <c r="BE75" s="14">
        <f t="shared" si="105"/>
        <v>0</v>
      </c>
      <c r="BF75" s="14">
        <f t="shared" si="106"/>
        <v>15.048344738566584</v>
      </c>
      <c r="BG75" s="14">
        <f t="shared" si="129"/>
        <v>333.30564015071491</v>
      </c>
      <c r="BH75" s="14" t="str">
        <f t="shared" si="107"/>
        <v/>
      </c>
      <c r="BI75" s="14">
        <f t="shared" si="108"/>
        <v>1</v>
      </c>
      <c r="BJ75" s="14">
        <f t="shared" si="130"/>
        <v>333.30564015071491</v>
      </c>
      <c r="BK75" s="14">
        <f t="shared" si="109"/>
        <v>1199.9003045425736</v>
      </c>
      <c r="BL75" s="14" t="str">
        <f t="shared" si="110"/>
        <v/>
      </c>
      <c r="BM75" s="14">
        <f t="shared" si="111"/>
        <v>362.28873929425532</v>
      </c>
      <c r="BN75" s="14">
        <f t="shared" si="131"/>
        <v>1.0209752100523113</v>
      </c>
      <c r="BO75" s="14">
        <f t="shared" si="132"/>
        <v>0.97945571073049198</v>
      </c>
      <c r="BP75" s="14" t="str">
        <f t="shared" si="133"/>
        <v/>
      </c>
      <c r="BQ75" s="22">
        <f t="shared" si="134"/>
        <v>0.71989156058937276</v>
      </c>
      <c r="BR75" s="14">
        <f t="shared" si="112"/>
        <v>3441.7430232954257</v>
      </c>
      <c r="BS75" s="14">
        <f t="shared" si="113"/>
        <v>257.22500489892127</v>
      </c>
      <c r="BT75" s="14">
        <f t="shared" si="135"/>
        <v>10.542678799453215</v>
      </c>
      <c r="BU75" s="14">
        <f t="shared" si="136"/>
        <v>0.78792652080124026</v>
      </c>
      <c r="BV75" s="22" t="str">
        <f t="shared" si="137"/>
        <v/>
      </c>
      <c r="BW75" s="14">
        <f t="shared" si="138"/>
        <v>1.0209752100523113</v>
      </c>
      <c r="BX75" s="14" t="e">
        <f t="shared" si="139"/>
        <v>#N/A</v>
      </c>
    </row>
    <row r="76" spans="1:76" x14ac:dyDescent="0.25">
      <c r="A76" s="12" t="s">
        <v>527</v>
      </c>
      <c r="B76" s="12" t="s">
        <v>214</v>
      </c>
      <c r="C76" s="15">
        <v>46234</v>
      </c>
      <c r="D76" s="12" t="s">
        <v>457</v>
      </c>
      <c r="E76" s="12" t="s">
        <v>35</v>
      </c>
      <c r="F76" s="12" t="s">
        <v>50</v>
      </c>
      <c r="G76" s="16">
        <v>0.97060185185185188</v>
      </c>
      <c r="H76" s="14">
        <v>0</v>
      </c>
      <c r="I76" s="14">
        <v>35.983333333333327</v>
      </c>
      <c r="J76" s="14">
        <v>0.35</v>
      </c>
      <c r="K76" s="14">
        <v>4.166666666666667</v>
      </c>
      <c r="L76" s="14">
        <v>65.36666666666666</v>
      </c>
      <c r="M76" s="14">
        <v>52.466666666666669</v>
      </c>
      <c r="N76" s="14">
        <v>209.75</v>
      </c>
      <c r="O76" s="14">
        <v>0</v>
      </c>
      <c r="P76" s="14">
        <v>0.34734042341449439</v>
      </c>
      <c r="Q76" s="14">
        <v>0</v>
      </c>
      <c r="R76" s="14">
        <v>0.45457411253170432</v>
      </c>
      <c r="S76" s="14">
        <v>60.408704745590633</v>
      </c>
      <c r="T76" s="14">
        <v>48.510694040374013</v>
      </c>
      <c r="U76" s="14">
        <v>216.86930410634201</v>
      </c>
      <c r="V76" s="18"/>
      <c r="W76" s="18"/>
      <c r="X76" s="18"/>
      <c r="Y76" s="18"/>
      <c r="Z76" s="18"/>
      <c r="AA76" s="14" t="str">
        <f>IF(AND(D76&lt;&gt;"EV",D76&lt;&gt;"Diesel"),"Invalid vehicle",IF(COUNTIFS(Routes[Corridor],E76,Routes[Direction],F76)=0,"Unknown route",IF(C76="","Missing date",IF(SUM(O76:U76)&lt;=0,"No distance","OK"))))</f>
        <v>OK</v>
      </c>
      <c r="AB76" s="17">
        <f t="shared" si="114"/>
        <v>46204</v>
      </c>
      <c r="AC76" s="14">
        <f>--(COUNTIFS($C$5:C76,C76,$D$5:D76,D76,$G$5:G76,G76,$F$5:F76,F76)=1)</f>
        <v>1</v>
      </c>
      <c r="AD76" s="14">
        <f t="shared" si="93"/>
        <v>1</v>
      </c>
      <c r="AE76" s="14">
        <f t="shared" si="94"/>
        <v>1</v>
      </c>
      <c r="AF76" s="14">
        <f t="shared" si="115"/>
        <v>1</v>
      </c>
      <c r="AG76" s="14">
        <f>SUMIFS(Routes[Net elevation (m)],Routes[Corridor],E76,Routes[Direction],F76)</f>
        <v>885</v>
      </c>
      <c r="AH76" s="14">
        <f t="shared" si="95"/>
        <v>14500</v>
      </c>
      <c r="AI76" s="14">
        <f t="shared" si="96"/>
        <v>0.25</v>
      </c>
      <c r="AJ76" s="14">
        <f t="shared" si="97"/>
        <v>8.1</v>
      </c>
      <c r="AK76" s="14">
        <f t="shared" si="116"/>
        <v>326.59061742825287</v>
      </c>
      <c r="AL76" s="14">
        <f t="shared" si="117"/>
        <v>6.134722222222222</v>
      </c>
      <c r="AM76" s="14">
        <f t="shared" si="118"/>
        <v>6.134722222222222</v>
      </c>
      <c r="AN76" s="14">
        <f t="shared" si="119"/>
        <v>0.60555555555555551</v>
      </c>
      <c r="AO76" s="14">
        <f t="shared" si="120"/>
        <v>5.5291666666666668</v>
      </c>
      <c r="AP76" s="14">
        <f t="shared" si="121"/>
        <v>59.004059141794428</v>
      </c>
      <c r="AQ76" s="14">
        <f t="shared" si="122"/>
        <v>6.5458672204565422</v>
      </c>
      <c r="AR76" s="14">
        <f t="shared" si="123"/>
        <v>55.449091556380999</v>
      </c>
      <c r="AS76" s="14">
        <f t="shared" si="124"/>
        <v>55.476016056336228</v>
      </c>
      <c r="AT76" s="14">
        <f t="shared" si="125"/>
        <v>62.036511305747425</v>
      </c>
      <c r="AU76" s="14">
        <f t="shared" si="98"/>
        <v>145.68891058911331</v>
      </c>
      <c r="AV76" s="14">
        <f t="shared" si="99"/>
        <v>23.480272342669451</v>
      </c>
      <c r="AW76" s="14">
        <f t="shared" si="126"/>
        <v>60.828209639657231</v>
      </c>
      <c r="AX76" s="14">
        <f t="shared" si="100"/>
        <v>34.968562499999997</v>
      </c>
      <c r="AY76" s="14">
        <f t="shared" si="127"/>
        <v>145.68891058911331</v>
      </c>
      <c r="AZ76" s="14">
        <f t="shared" si="101"/>
        <v>34.968562499999997</v>
      </c>
      <c r="BA76" s="14">
        <f t="shared" si="102"/>
        <v>37.34793729698778</v>
      </c>
      <c r="BB76" s="14">
        <f t="shared" si="128"/>
        <v>241.48568272877051</v>
      </c>
      <c r="BC76" s="14">
        <f t="shared" si="103"/>
        <v>749.95553642475318</v>
      </c>
      <c r="BD76" s="14">
        <f t="shared" si="104"/>
        <v>127.96071428571427</v>
      </c>
      <c r="BE76" s="14">
        <f t="shared" si="105"/>
        <v>15.096836419753085</v>
      </c>
      <c r="BF76" s="14">
        <f t="shared" si="106"/>
        <v>0</v>
      </c>
      <c r="BG76" s="14">
        <f t="shared" si="129"/>
        <v>893.01308713022058</v>
      </c>
      <c r="BH76" s="14" t="str">
        <f t="shared" si="107"/>
        <v/>
      </c>
      <c r="BI76" s="14">
        <f t="shared" si="108"/>
        <v>1</v>
      </c>
      <c r="BJ76" s="14">
        <f t="shared" si="130"/>
        <v>893.01308713022058</v>
      </c>
      <c r="BK76" s="14">
        <f t="shared" si="109"/>
        <v>3214.847113668794</v>
      </c>
      <c r="BL76" s="14">
        <f t="shared" si="110"/>
        <v>89.550058876568087</v>
      </c>
      <c r="BM76" s="14" t="str">
        <f t="shared" si="111"/>
        <v/>
      </c>
      <c r="BN76" s="14">
        <f t="shared" si="131"/>
        <v>2.7343500991004506</v>
      </c>
      <c r="BO76" s="14">
        <f t="shared" si="132"/>
        <v>0.3657176161637023</v>
      </c>
      <c r="BP76" s="14">
        <f t="shared" si="133"/>
        <v>3.6470173389658092</v>
      </c>
      <c r="BQ76" s="22">
        <f t="shared" si="134"/>
        <v>0.27041673432223362</v>
      </c>
      <c r="BR76" s="14">
        <f t="shared" si="112"/>
        <v>8238.6054166442646</v>
      </c>
      <c r="BS76" s="14">
        <f t="shared" si="113"/>
        <v>239.99415778920249</v>
      </c>
      <c r="BT76" s="14">
        <f t="shared" si="135"/>
        <v>25.226093393372405</v>
      </c>
      <c r="BU76" s="14">
        <f t="shared" si="136"/>
        <v>0.73484706841563097</v>
      </c>
      <c r="BV76" s="22" t="str">
        <f t="shared" si="137"/>
        <v/>
      </c>
      <c r="BW76" s="14" t="e">
        <f t="shared" si="138"/>
        <v>#N/A</v>
      </c>
      <c r="BX76" s="14">
        <f t="shared" si="139"/>
        <v>2.7343500991004506</v>
      </c>
    </row>
    <row r="77" spans="1:76" x14ac:dyDescent="0.25">
      <c r="A77" s="12" t="s">
        <v>528</v>
      </c>
      <c r="B77" s="12" t="s">
        <v>218</v>
      </c>
      <c r="C77" s="15">
        <v>46271</v>
      </c>
      <c r="D77" s="12" t="s">
        <v>300</v>
      </c>
      <c r="E77" s="12" t="s">
        <v>35</v>
      </c>
      <c r="F77" s="12" t="s">
        <v>55</v>
      </c>
      <c r="G77" s="16">
        <v>1.2812499999999999E-2</v>
      </c>
      <c r="H77" s="14">
        <v>20.983333333333331</v>
      </c>
      <c r="I77" s="14">
        <v>3.666666666666667</v>
      </c>
      <c r="J77" s="14">
        <v>3.0333333333333332</v>
      </c>
      <c r="K77" s="14">
        <v>7.2833333333333332</v>
      </c>
      <c r="L77" s="14">
        <v>33.003716666666669</v>
      </c>
      <c r="M77" s="14">
        <v>29.65</v>
      </c>
      <c r="N77" s="14">
        <v>163.76666666666671</v>
      </c>
      <c r="O77" s="14">
        <v>0.30535713043367269</v>
      </c>
      <c r="P77" s="14">
        <v>0.14094843113112021</v>
      </c>
      <c r="Q77" s="14">
        <v>5.4215425897099186E-3</v>
      </c>
      <c r="R77" s="14">
        <v>0.92447727733159768</v>
      </c>
      <c r="S77" s="14">
        <v>30.514332664280492</v>
      </c>
      <c r="T77" s="14">
        <v>28.675992224263862</v>
      </c>
      <c r="U77" s="14">
        <v>188.56031910176461</v>
      </c>
      <c r="V77" s="18"/>
      <c r="W77" s="18"/>
      <c r="X77" s="18"/>
      <c r="Y77" s="18"/>
      <c r="Z77" s="18"/>
      <c r="AA77" s="14" t="str">
        <f>IF(AND(D77&lt;&gt;"EV",D77&lt;&gt;"Diesel"),"Invalid vehicle",IF(COUNTIFS(Routes[Corridor],E77,Routes[Direction],F77)=0,"Unknown route",IF(C77="","Missing date",IF(SUM(O77:U77)&lt;=0,"No distance","OK"))))</f>
        <v>OK</v>
      </c>
      <c r="AB77" s="17">
        <f t="shared" si="114"/>
        <v>46266</v>
      </c>
      <c r="AC77" s="14">
        <f>--(COUNTIFS($C$5:C77,C77,$D$5:D77,D77,$G$5:G77,G77,$F$5:F77,F77)=1)</f>
        <v>1</v>
      </c>
      <c r="AD77" s="14">
        <f t="shared" si="93"/>
        <v>1</v>
      </c>
      <c r="AE77" s="14">
        <f t="shared" si="94"/>
        <v>1</v>
      </c>
      <c r="AF77" s="14">
        <f t="shared" si="115"/>
        <v>1</v>
      </c>
      <c r="AG77" s="14">
        <f>SUMIFS(Routes[Net elevation (m)],Routes[Corridor],E77,Routes[Direction],F77)</f>
        <v>-885</v>
      </c>
      <c r="AH77" s="14">
        <f t="shared" si="95"/>
        <v>16500</v>
      </c>
      <c r="AI77" s="14">
        <f t="shared" si="96"/>
        <v>0.25</v>
      </c>
      <c r="AJ77" s="14">
        <f t="shared" si="97"/>
        <v>8.1</v>
      </c>
      <c r="AK77" s="14">
        <f t="shared" si="116"/>
        <v>249.12684837179506</v>
      </c>
      <c r="AL77" s="14">
        <f t="shared" si="117"/>
        <v>4.3564508333333345</v>
      </c>
      <c r="AM77" s="14">
        <f t="shared" si="118"/>
        <v>4.0067286111111118</v>
      </c>
      <c r="AN77" s="14">
        <f t="shared" si="119"/>
        <v>0.11166666666666666</v>
      </c>
      <c r="AO77" s="14">
        <f t="shared" si="120"/>
        <v>3.895061944444445</v>
      </c>
      <c r="AP77" s="14">
        <f t="shared" si="121"/>
        <v>63.843688448222927</v>
      </c>
      <c r="AQ77" s="14">
        <f t="shared" si="122"/>
        <v>7.6158311176058389</v>
      </c>
      <c r="AR77" s="14">
        <f t="shared" si="123"/>
        <v>55.4743569746487</v>
      </c>
      <c r="AS77" s="14">
        <f t="shared" si="124"/>
        <v>58.028989323974088</v>
      </c>
      <c r="AT77" s="14">
        <f t="shared" si="125"/>
        <v>69.083772518456385</v>
      </c>
      <c r="AU77" s="14">
        <f t="shared" si="98"/>
        <v>136.37317898057626</v>
      </c>
      <c r="AV77" s="14">
        <f t="shared" si="99"/>
        <v>15.533899258596335</v>
      </c>
      <c r="AW77" s="14">
        <f t="shared" si="126"/>
        <v>34.964339511154726</v>
      </c>
      <c r="AX77" s="14">
        <f t="shared" si="100"/>
        <v>-39.791812499999999</v>
      </c>
      <c r="AY77" s="14">
        <f t="shared" si="127"/>
        <v>136.37317898057626</v>
      </c>
      <c r="AZ77" s="14">
        <f t="shared" si="101"/>
        <v>-19.895906249999999</v>
      </c>
      <c r="BA77" s="14">
        <f t="shared" si="102"/>
        <v>39.326346502558394</v>
      </c>
      <c r="BB77" s="14">
        <f t="shared" si="128"/>
        <v>151.44161224173098</v>
      </c>
      <c r="BC77" s="14">
        <f t="shared" si="103"/>
        <v>182.60277595916199</v>
      </c>
      <c r="BD77" s="14">
        <f t="shared" si="104"/>
        <v>32.454501750000006</v>
      </c>
      <c r="BE77" s="14">
        <f t="shared" si="105"/>
        <v>0</v>
      </c>
      <c r="BF77" s="14">
        <f t="shared" si="106"/>
        <v>19.569183283138081</v>
      </c>
      <c r="BG77" s="14">
        <f t="shared" si="129"/>
        <v>195.48809442602393</v>
      </c>
      <c r="BH77" s="14" t="str">
        <f t="shared" si="107"/>
        <v/>
      </c>
      <c r="BI77" s="14">
        <f t="shared" si="108"/>
        <v>1</v>
      </c>
      <c r="BJ77" s="14">
        <f t="shared" si="130"/>
        <v>195.48809442602393</v>
      </c>
      <c r="BK77" s="14">
        <f t="shared" si="109"/>
        <v>703.75713993368618</v>
      </c>
      <c r="BL77" s="14" t="str">
        <f t="shared" si="110"/>
        <v/>
      </c>
      <c r="BM77" s="14">
        <f t="shared" si="111"/>
        <v>212.48705915872165</v>
      </c>
      <c r="BN77" s="14">
        <f t="shared" si="131"/>
        <v>0.78469300159202016</v>
      </c>
      <c r="BO77" s="14">
        <f t="shared" si="132"/>
        <v>1.2743837372974596</v>
      </c>
      <c r="BP77" s="14" t="str">
        <f t="shared" si="133"/>
        <v/>
      </c>
      <c r="BQ77" s="22">
        <f t="shared" si="134"/>
        <v>0.77468457957187309</v>
      </c>
      <c r="BR77" s="14">
        <f t="shared" si="112"/>
        <v>2018.6270620078558</v>
      </c>
      <c r="BS77" s="14">
        <f t="shared" si="113"/>
        <v>150.86581200269237</v>
      </c>
      <c r="BT77" s="14">
        <f t="shared" si="135"/>
        <v>8.1028081686132509</v>
      </c>
      <c r="BU77" s="14">
        <f t="shared" si="136"/>
        <v>0.60557829470688496</v>
      </c>
      <c r="BV77" s="22" t="str">
        <f t="shared" si="137"/>
        <v/>
      </c>
      <c r="BW77" s="14">
        <f t="shared" si="138"/>
        <v>0.78469300159202016</v>
      </c>
      <c r="BX77" s="14" t="e">
        <f t="shared" si="139"/>
        <v>#N/A</v>
      </c>
    </row>
    <row r="78" spans="1:76" x14ac:dyDescent="0.25">
      <c r="A78" s="12" t="s">
        <v>529</v>
      </c>
      <c r="B78" s="12" t="s">
        <v>218</v>
      </c>
      <c r="C78" s="15">
        <v>46270</v>
      </c>
      <c r="D78" s="12" t="s">
        <v>457</v>
      </c>
      <c r="E78" s="12" t="s">
        <v>35</v>
      </c>
      <c r="F78" s="12" t="s">
        <v>55</v>
      </c>
      <c r="G78" s="16">
        <v>0.96938657407407403</v>
      </c>
      <c r="H78" s="14">
        <v>0</v>
      </c>
      <c r="I78" s="14">
        <v>16.43333333333333</v>
      </c>
      <c r="J78" s="14">
        <v>6.3166666666666664</v>
      </c>
      <c r="K78" s="14">
        <v>5</v>
      </c>
      <c r="L78" s="14">
        <v>46.8</v>
      </c>
      <c r="M78" s="14">
        <v>33.416666666666657</v>
      </c>
      <c r="N78" s="14">
        <v>136.9743</v>
      </c>
      <c r="O78" s="14">
        <v>0</v>
      </c>
      <c r="P78" s="14">
        <v>8.3882197240028836E-2</v>
      </c>
      <c r="Q78" s="14">
        <v>2.4298019276443351E-2</v>
      </c>
      <c r="R78" s="14">
        <v>0.2309310830082773</v>
      </c>
      <c r="S78" s="14">
        <v>45.486197913377573</v>
      </c>
      <c r="T78" s="14">
        <v>34.428473200240241</v>
      </c>
      <c r="U78" s="14">
        <v>169.6534187990338</v>
      </c>
      <c r="V78" s="18"/>
      <c r="W78" s="18"/>
      <c r="X78" s="18"/>
      <c r="Y78" s="18"/>
      <c r="Z78" s="18"/>
      <c r="AA78" s="14" t="str">
        <f>IF(AND(D78&lt;&gt;"EV",D78&lt;&gt;"Diesel"),"Invalid vehicle",IF(COUNTIFS(Routes[Corridor],E78,Routes[Direction],F78)=0,"Unknown route",IF(C78="","Missing date",IF(SUM(O78:U78)&lt;=0,"No distance","OK"))))</f>
        <v>OK</v>
      </c>
      <c r="AB78" s="17">
        <f t="shared" si="114"/>
        <v>46266</v>
      </c>
      <c r="AC78" s="14">
        <f>--(COUNTIFS($C$5:C78,C78,$D$5:D78,D78,$G$5:G78,G78,$F$5:F78,F78)=1)</f>
        <v>0</v>
      </c>
      <c r="AD78" s="14">
        <f t="shared" si="93"/>
        <v>1</v>
      </c>
      <c r="AE78" s="14">
        <f t="shared" si="94"/>
        <v>1</v>
      </c>
      <c r="AF78" s="14">
        <f t="shared" si="115"/>
        <v>1</v>
      </c>
      <c r="AG78" s="14">
        <f>SUMIFS(Routes[Net elevation (m)],Routes[Corridor],E78,Routes[Direction],F78)</f>
        <v>-885</v>
      </c>
      <c r="AH78" s="14">
        <f t="shared" si="95"/>
        <v>14500</v>
      </c>
      <c r="AI78" s="14">
        <f t="shared" si="96"/>
        <v>0.25</v>
      </c>
      <c r="AJ78" s="14">
        <f t="shared" si="97"/>
        <v>8.1</v>
      </c>
      <c r="AK78" s="14">
        <f t="shared" si="116"/>
        <v>249.90720121217637</v>
      </c>
      <c r="AL78" s="14">
        <f t="shared" si="117"/>
        <v>4.0823494444444446</v>
      </c>
      <c r="AM78" s="14">
        <f t="shared" si="118"/>
        <v>4.0823494444444446</v>
      </c>
      <c r="AN78" s="14">
        <f t="shared" si="119"/>
        <v>0.3791666666666666</v>
      </c>
      <c r="AO78" s="14">
        <f t="shared" si="120"/>
        <v>3.7031827777777777</v>
      </c>
      <c r="AP78" s="14">
        <f t="shared" si="121"/>
        <v>67.45522324597772</v>
      </c>
      <c r="AQ78" s="14">
        <f t="shared" si="122"/>
        <v>2.7711729960993279</v>
      </c>
      <c r="AR78" s="14">
        <f t="shared" si="123"/>
        <v>58.315638350484072</v>
      </c>
      <c r="AS78" s="14">
        <f t="shared" si="124"/>
        <v>61.816709985468783</v>
      </c>
      <c r="AT78" s="14">
        <f t="shared" si="125"/>
        <v>74.314708145557432</v>
      </c>
      <c r="AU78" s="14">
        <f t="shared" si="98"/>
        <v>133.17646261135584</v>
      </c>
      <c r="AV78" s="14">
        <f t="shared" si="99"/>
        <v>18.389986541216409</v>
      </c>
      <c r="AW78" s="14">
        <f t="shared" si="126"/>
        <v>45.802074287776023</v>
      </c>
      <c r="AX78" s="14">
        <f t="shared" si="100"/>
        <v>-34.968562499999997</v>
      </c>
      <c r="AY78" s="14">
        <f t="shared" si="127"/>
        <v>133.17646261135584</v>
      </c>
      <c r="AZ78" s="14">
        <f t="shared" si="101"/>
        <v>-17.484281249999999</v>
      </c>
      <c r="BA78" s="14">
        <f t="shared" si="102"/>
        <v>44.896368996559616</v>
      </c>
      <c r="BB78" s="14">
        <f t="shared" si="128"/>
        <v>161.49425564913187</v>
      </c>
      <c r="BC78" s="14">
        <f t="shared" si="103"/>
        <v>501.53495543208652</v>
      </c>
      <c r="BD78" s="14">
        <f t="shared" si="104"/>
        <v>85.70223</v>
      </c>
      <c r="BE78" s="14">
        <f t="shared" si="105"/>
        <v>9.4528356481481453</v>
      </c>
      <c r="BF78" s="14">
        <f t="shared" si="106"/>
        <v>0</v>
      </c>
      <c r="BG78" s="14">
        <f t="shared" si="129"/>
        <v>596.69002108023471</v>
      </c>
      <c r="BH78" s="14" t="str">
        <f t="shared" si="107"/>
        <v/>
      </c>
      <c r="BI78" s="14">
        <f t="shared" si="108"/>
        <v>1</v>
      </c>
      <c r="BJ78" s="14">
        <f t="shared" si="130"/>
        <v>596.69002108023471</v>
      </c>
      <c r="BK78" s="14">
        <f t="shared" si="109"/>
        <v>2148.0840758888448</v>
      </c>
      <c r="BL78" s="14">
        <f t="shared" si="110"/>
        <v>59.835211027544432</v>
      </c>
      <c r="BM78" s="14" t="str">
        <f t="shared" si="111"/>
        <v/>
      </c>
      <c r="BN78" s="14">
        <f t="shared" si="131"/>
        <v>2.3876463670754031</v>
      </c>
      <c r="BO78" s="14">
        <f t="shared" si="132"/>
        <v>0.41882249138296263</v>
      </c>
      <c r="BP78" s="14">
        <f t="shared" si="133"/>
        <v>4.1765909557356542</v>
      </c>
      <c r="BQ78" s="22">
        <f t="shared" si="134"/>
        <v>0.27065017001083103</v>
      </c>
      <c r="BR78" s="14">
        <f t="shared" si="112"/>
        <v>5504.8394145340881</v>
      </c>
      <c r="BS78" s="14">
        <f t="shared" si="113"/>
        <v>160.35836555381908</v>
      </c>
      <c r="BT78" s="14">
        <f t="shared" si="135"/>
        <v>22.027534172015979</v>
      </c>
      <c r="BU78" s="14">
        <f t="shared" si="136"/>
        <v>0.64167164761959583</v>
      </c>
      <c r="BV78" s="22" t="str">
        <f t="shared" si="137"/>
        <v/>
      </c>
      <c r="BW78" s="14" t="e">
        <f t="shared" si="138"/>
        <v>#N/A</v>
      </c>
      <c r="BX78" s="14">
        <f t="shared" si="139"/>
        <v>2.3876463670754031</v>
      </c>
    </row>
    <row r="79" spans="1:76" x14ac:dyDescent="0.25">
      <c r="A79" s="12" t="s">
        <v>530</v>
      </c>
      <c r="B79" s="12" t="s">
        <v>223</v>
      </c>
      <c r="C79" s="15">
        <v>46276</v>
      </c>
      <c r="D79" s="12" t="s">
        <v>300</v>
      </c>
      <c r="E79" s="12" t="s">
        <v>531</v>
      </c>
      <c r="F79" s="12" t="s">
        <v>532</v>
      </c>
      <c r="G79" s="16">
        <v>0.97013888888888888</v>
      </c>
      <c r="H79" s="14">
        <v>50.366666666666667</v>
      </c>
      <c r="I79" s="14">
        <v>8.3666666666666671</v>
      </c>
      <c r="J79" s="14">
        <v>17.350000000000001</v>
      </c>
      <c r="K79" s="14">
        <v>4.75</v>
      </c>
      <c r="L79" s="14">
        <v>75.683333333333337</v>
      </c>
      <c r="M79" s="14">
        <v>57.18333333333333</v>
      </c>
      <c r="N79" s="14">
        <v>181.3</v>
      </c>
      <c r="O79" s="14">
        <v>0.1423627546916193</v>
      </c>
      <c r="P79" s="14">
        <v>0.19087658536061269</v>
      </c>
      <c r="Q79" s="14">
        <v>0.1087001286100384</v>
      </c>
      <c r="R79" s="14">
        <v>0.39868431866922599</v>
      </c>
      <c r="S79" s="14">
        <v>67.358249040373622</v>
      </c>
      <c r="T79" s="14">
        <v>52.262791432987221</v>
      </c>
      <c r="U79" s="14">
        <v>205.89310831389679</v>
      </c>
      <c r="V79" s="18"/>
      <c r="W79" s="18"/>
      <c r="X79" s="18"/>
      <c r="Y79" s="18"/>
      <c r="Z79" s="18"/>
      <c r="AA79" s="14" t="str">
        <f>IF(AND(D79&lt;&gt;"EV",D79&lt;&gt;"Diesel"),"Invalid vehicle",IF(COUNTIFS(Routes[Corridor],E79,Routes[Direction],F79)=0,"Unknown route",IF(C79="","Missing date",IF(SUM(O79:U79)&lt;=0,"No distance","OK"))))</f>
        <v>OK</v>
      </c>
      <c r="AB79" s="17">
        <f t="shared" si="114"/>
        <v>46266</v>
      </c>
      <c r="AC79" s="14">
        <f>--(COUNTIFS($C$5:C79,C79,$D$5:D79,D79,$G$5:G79,G79,$F$5:F79,F79)=1)</f>
        <v>1</v>
      </c>
      <c r="AD79" s="14">
        <f t="shared" si="93"/>
        <v>0</v>
      </c>
      <c r="AE79" s="14">
        <f t="shared" si="94"/>
        <v>1</v>
      </c>
      <c r="AF79" s="14">
        <f t="shared" si="115"/>
        <v>0</v>
      </c>
      <c r="AG79" s="14">
        <f>SUMIFS(Routes[Net elevation (m)],Routes[Corridor],E79,Routes[Direction],F79)</f>
        <v>880</v>
      </c>
      <c r="AH79" s="14">
        <f t="shared" si="95"/>
        <v>16500</v>
      </c>
      <c r="AI79" s="14">
        <f t="shared" si="96"/>
        <v>0.25</v>
      </c>
      <c r="AJ79" s="14">
        <f t="shared" si="97"/>
        <v>8.1</v>
      </c>
      <c r="AK79" s="14">
        <f t="shared" si="116"/>
        <v>326.35477257458911</v>
      </c>
      <c r="AL79" s="14">
        <f t="shared" si="117"/>
        <v>6.583333333333333</v>
      </c>
      <c r="AM79" s="14">
        <f t="shared" si="118"/>
        <v>5.7438888888888888</v>
      </c>
      <c r="AN79" s="14">
        <f t="shared" si="119"/>
        <v>0.42861111111111116</v>
      </c>
      <c r="AO79" s="14">
        <f t="shared" si="120"/>
        <v>5.3152777777777782</v>
      </c>
      <c r="AP79" s="14">
        <f t="shared" si="121"/>
        <v>61.31623721877903</v>
      </c>
      <c r="AQ79" s="14">
        <f t="shared" si="122"/>
        <v>5.036012446348118</v>
      </c>
      <c r="AR79" s="14">
        <f t="shared" si="123"/>
        <v>53.400065303973804</v>
      </c>
      <c r="AS79" s="14">
        <f t="shared" si="124"/>
        <v>54.837088067255607</v>
      </c>
      <c r="AT79" s="14">
        <f t="shared" si="125"/>
        <v>68.13892167034642</v>
      </c>
      <c r="AU79" s="14">
        <f t="shared" si="98"/>
        <v>163.6463792294293</v>
      </c>
      <c r="AV79" s="14">
        <f t="shared" si="99"/>
        <v>27.041916861556359</v>
      </c>
      <c r="AW79" s="14">
        <f t="shared" si="126"/>
        <v>77.181327025428104</v>
      </c>
      <c r="AX79" s="14">
        <f t="shared" si="100"/>
        <v>39.567</v>
      </c>
      <c r="AY79" s="14">
        <f t="shared" si="127"/>
        <v>163.6463792294293</v>
      </c>
      <c r="AZ79" s="14">
        <f t="shared" si="101"/>
        <v>39.567</v>
      </c>
      <c r="BA79" s="14">
        <f t="shared" si="102"/>
        <v>50.139410163871744</v>
      </c>
      <c r="BB79" s="14">
        <f t="shared" si="128"/>
        <v>280.3947062548574</v>
      </c>
      <c r="BC79" s="14">
        <f t="shared" si="103"/>
        <v>338.08971634998181</v>
      </c>
      <c r="BD79" s="14">
        <f t="shared" si="104"/>
        <v>46.525500000000001</v>
      </c>
      <c r="BE79" s="14">
        <f t="shared" si="105"/>
        <v>0</v>
      </c>
      <c r="BF79" s="14">
        <f t="shared" si="106"/>
        <v>24.949871891644214</v>
      </c>
      <c r="BG79" s="14">
        <f t="shared" si="129"/>
        <v>359.66534445833764</v>
      </c>
      <c r="BH79" s="14" t="str">
        <f t="shared" si="107"/>
        <v/>
      </c>
      <c r="BI79" s="14">
        <f t="shared" si="108"/>
        <v>1</v>
      </c>
      <c r="BJ79" s="14">
        <f t="shared" si="130"/>
        <v>359.66534445833764</v>
      </c>
      <c r="BK79" s="14">
        <f t="shared" si="109"/>
        <v>1294.7952400500155</v>
      </c>
      <c r="BL79" s="14" t="str">
        <f t="shared" si="110"/>
        <v/>
      </c>
      <c r="BM79" s="14">
        <f t="shared" si="111"/>
        <v>390.94059180254089</v>
      </c>
      <c r="BN79" s="14">
        <f t="shared" si="131"/>
        <v>1.1020685912479964</v>
      </c>
      <c r="BO79" s="14">
        <f t="shared" si="132"/>
        <v>0.90738453844110323</v>
      </c>
      <c r="BP79" s="14" t="str">
        <f t="shared" si="133"/>
        <v/>
      </c>
      <c r="BQ79" s="22">
        <f t="shared" si="134"/>
        <v>0.77959889818446859</v>
      </c>
      <c r="BR79" s="14">
        <f t="shared" si="112"/>
        <v>3713.9356221241387</v>
      </c>
      <c r="BS79" s="14">
        <f t="shared" si="113"/>
        <v>277.56782017980402</v>
      </c>
      <c r="BT79" s="14">
        <f t="shared" si="135"/>
        <v>11.380056105278223</v>
      </c>
      <c r="BU79" s="14">
        <f t="shared" si="136"/>
        <v>0.85050945628921448</v>
      </c>
      <c r="BV79" s="22" t="str">
        <f t="shared" si="137"/>
        <v/>
      </c>
      <c r="BW79" s="14" t="e">
        <f t="shared" si="138"/>
        <v>#N/A</v>
      </c>
      <c r="BX79" s="14" t="e">
        <f t="shared" si="139"/>
        <v>#N/A</v>
      </c>
    </row>
    <row r="80" spans="1:76" x14ac:dyDescent="0.25">
      <c r="A80" s="12" t="s">
        <v>533</v>
      </c>
      <c r="B80" s="12" t="s">
        <v>223</v>
      </c>
      <c r="C80" s="15">
        <v>46276</v>
      </c>
      <c r="D80" s="12" t="s">
        <v>457</v>
      </c>
      <c r="E80" s="12" t="s">
        <v>531</v>
      </c>
      <c r="F80" s="12" t="s">
        <v>532</v>
      </c>
      <c r="G80" s="16">
        <v>0.97721064814814818</v>
      </c>
      <c r="H80" s="14">
        <v>0</v>
      </c>
      <c r="I80" s="14">
        <v>42.65</v>
      </c>
      <c r="J80" s="14">
        <v>4.45</v>
      </c>
      <c r="K80" s="14">
        <v>12.016666666666669</v>
      </c>
      <c r="L80" s="14">
        <v>57.411516666666657</v>
      </c>
      <c r="M80" s="14">
        <v>49.6</v>
      </c>
      <c r="N80" s="14">
        <v>208.83333333333329</v>
      </c>
      <c r="O80" s="14">
        <v>0</v>
      </c>
      <c r="P80" s="14">
        <v>0.54761889554039</v>
      </c>
      <c r="Q80" s="14">
        <v>5.0473616639224998E-2</v>
      </c>
      <c r="R80" s="14">
        <v>0.94513627935308775</v>
      </c>
      <c r="S80" s="14">
        <v>50.571016219655441</v>
      </c>
      <c r="T80" s="14">
        <v>45.612596971397018</v>
      </c>
      <c r="U80" s="14">
        <v>228.21925521167481</v>
      </c>
      <c r="V80" s="18"/>
      <c r="W80" s="18"/>
      <c r="X80" s="18"/>
      <c r="Y80" s="18"/>
      <c r="Z80" s="18"/>
      <c r="AA80" s="14" t="str">
        <f>IF(AND(D80&lt;&gt;"EV",D80&lt;&gt;"Diesel"),"Invalid vehicle",IF(COUNTIFS(Routes[Corridor],E80,Routes[Direction],F80)=0,"Unknown route",IF(C80="","Missing date",IF(SUM(O80:U80)&lt;=0,"No distance","OK"))))</f>
        <v>OK</v>
      </c>
      <c r="AB80" s="17">
        <f t="shared" si="114"/>
        <v>46266</v>
      </c>
      <c r="AC80" s="14">
        <f>--(COUNTIFS($C$5:C80,C80,$D$5:D80,D80,$G$5:G80,G80,$F$5:F80,F80)=1)</f>
        <v>1</v>
      </c>
      <c r="AD80" s="14">
        <f t="shared" si="93"/>
        <v>0</v>
      </c>
      <c r="AE80" s="14">
        <f t="shared" si="94"/>
        <v>1</v>
      </c>
      <c r="AF80" s="14">
        <f t="shared" si="115"/>
        <v>0</v>
      </c>
      <c r="AG80" s="14">
        <f>SUMIFS(Routes[Net elevation (m)],Routes[Corridor],E80,Routes[Direction],F80)</f>
        <v>880</v>
      </c>
      <c r="AH80" s="14">
        <f t="shared" si="95"/>
        <v>14500</v>
      </c>
      <c r="AI80" s="14">
        <f t="shared" si="96"/>
        <v>0.25</v>
      </c>
      <c r="AJ80" s="14">
        <f t="shared" si="97"/>
        <v>8.1</v>
      </c>
      <c r="AK80" s="14">
        <f t="shared" si="116"/>
        <v>325.94609719426001</v>
      </c>
      <c r="AL80" s="14">
        <f t="shared" si="117"/>
        <v>6.2493586111111101</v>
      </c>
      <c r="AM80" s="14">
        <f t="shared" si="118"/>
        <v>6.2493586111111101</v>
      </c>
      <c r="AN80" s="14">
        <f t="shared" si="119"/>
        <v>0.78500000000000003</v>
      </c>
      <c r="AO80" s="14">
        <f t="shared" si="120"/>
        <v>5.46435861111111</v>
      </c>
      <c r="AP80" s="14">
        <f t="shared" si="121"/>
        <v>59.540017015084757</v>
      </c>
      <c r="AQ80" s="14">
        <f t="shared" si="122"/>
        <v>4.719127053635388</v>
      </c>
      <c r="AR80" s="14">
        <f t="shared" si="123"/>
        <v>52.851085450265238</v>
      </c>
      <c r="AS80" s="14">
        <f t="shared" si="124"/>
        <v>55.176528594431879</v>
      </c>
      <c r="AT80" s="14">
        <f t="shared" si="125"/>
        <v>65.56977803368153</v>
      </c>
      <c r="AU80" s="14">
        <f t="shared" si="98"/>
        <v>153.1941420795321</v>
      </c>
      <c r="AV80" s="14">
        <f t="shared" si="99"/>
        <v>21.975646068615131</v>
      </c>
      <c r="AW80" s="14">
        <f t="shared" si="126"/>
        <v>50.922203832291935</v>
      </c>
      <c r="AX80" s="14">
        <f t="shared" si="100"/>
        <v>34.771000000000001</v>
      </c>
      <c r="AY80" s="14">
        <f t="shared" si="127"/>
        <v>153.1941420795321</v>
      </c>
      <c r="AZ80" s="14">
        <f t="shared" si="101"/>
        <v>34.771000000000001</v>
      </c>
      <c r="BA80" s="14">
        <f t="shared" si="102"/>
        <v>28.946557763676804</v>
      </c>
      <c r="BB80" s="14">
        <f t="shared" si="128"/>
        <v>238.88734591182401</v>
      </c>
      <c r="BC80" s="14">
        <f t="shared" si="103"/>
        <v>741.88616742802492</v>
      </c>
      <c r="BD80" s="14">
        <f t="shared" si="104"/>
        <v>126.46087071428569</v>
      </c>
      <c r="BE80" s="14">
        <f t="shared" si="105"/>
        <v>19.570486111111112</v>
      </c>
      <c r="BF80" s="14">
        <f t="shared" si="106"/>
        <v>0</v>
      </c>
      <c r="BG80" s="14">
        <f t="shared" si="129"/>
        <v>887.91752425342167</v>
      </c>
      <c r="BH80" s="14" t="str">
        <f t="shared" si="107"/>
        <v/>
      </c>
      <c r="BI80" s="14">
        <f t="shared" si="108"/>
        <v>1</v>
      </c>
      <c r="BJ80" s="14">
        <f t="shared" si="130"/>
        <v>887.91752425342167</v>
      </c>
      <c r="BK80" s="14">
        <f t="shared" si="109"/>
        <v>3196.5030873123183</v>
      </c>
      <c r="BL80" s="14">
        <f t="shared" si="110"/>
        <v>89.039083212042286</v>
      </c>
      <c r="BM80" s="14" t="str">
        <f t="shared" si="111"/>
        <v/>
      </c>
      <c r="BN80" s="14">
        <f t="shared" si="131"/>
        <v>2.7241238103373679</v>
      </c>
      <c r="BO80" s="14">
        <f t="shared" si="132"/>
        <v>0.36709051042586621</v>
      </c>
      <c r="BP80" s="14">
        <f t="shared" si="133"/>
        <v>3.6607081456357213</v>
      </c>
      <c r="BQ80" s="22">
        <f t="shared" si="134"/>
        <v>0.26904226956516614</v>
      </c>
      <c r="BR80" s="14">
        <f t="shared" si="112"/>
        <v>8191.5956555078901</v>
      </c>
      <c r="BS80" s="14">
        <f t="shared" si="113"/>
        <v>238.62474300827333</v>
      </c>
      <c r="BT80" s="14">
        <f t="shared" si="135"/>
        <v>25.131749470299059</v>
      </c>
      <c r="BU80" s="14">
        <f t="shared" si="136"/>
        <v>0.73209878891740743</v>
      </c>
      <c r="BV80" s="22" t="str">
        <f t="shared" si="137"/>
        <v/>
      </c>
      <c r="BW80" s="14" t="e">
        <f t="shared" si="138"/>
        <v>#N/A</v>
      </c>
      <c r="BX80" s="14" t="e">
        <f t="shared" si="139"/>
        <v>#N/A</v>
      </c>
    </row>
    <row r="81" spans="1:76" x14ac:dyDescent="0.25">
      <c r="A81" s="12" t="s">
        <v>534</v>
      </c>
      <c r="B81" s="12" t="s">
        <v>229</v>
      </c>
      <c r="C81" s="15">
        <v>46276</v>
      </c>
      <c r="D81" s="12" t="s">
        <v>300</v>
      </c>
      <c r="E81" s="12" t="s">
        <v>531</v>
      </c>
      <c r="F81" s="12" t="s">
        <v>532</v>
      </c>
      <c r="G81" s="16">
        <v>0.97195601851851854</v>
      </c>
      <c r="H81" s="14">
        <v>50.366666666666667</v>
      </c>
      <c r="I81" s="14">
        <v>8.3666666666666671</v>
      </c>
      <c r="J81" s="14">
        <v>17.350000000000001</v>
      </c>
      <c r="K81" s="14">
        <v>4.583333333333333</v>
      </c>
      <c r="L81" s="14">
        <v>74.783333333333331</v>
      </c>
      <c r="M81" s="14">
        <v>56.437600000000003</v>
      </c>
      <c r="N81" s="14">
        <v>180.48333333333329</v>
      </c>
      <c r="O81" s="14">
        <v>0.1423627546916193</v>
      </c>
      <c r="P81" s="14">
        <v>0.19087658536061269</v>
      </c>
      <c r="Q81" s="14">
        <v>0.1087001286100384</v>
      </c>
      <c r="R81" s="14">
        <v>0.37808500805927941</v>
      </c>
      <c r="S81" s="14">
        <v>67.007992810224437</v>
      </c>
      <c r="T81" s="14">
        <v>52.066282694191528</v>
      </c>
      <c r="U81" s="14">
        <v>205.52161381979761</v>
      </c>
      <c r="V81" s="18"/>
      <c r="W81" s="18"/>
      <c r="X81" s="18"/>
      <c r="Y81" s="18"/>
      <c r="Z81" s="18"/>
      <c r="AA81" s="14" t="str">
        <f>IF(AND(D81&lt;&gt;"EV",D81&lt;&gt;"Diesel"),"Invalid vehicle",IF(COUNTIFS(Routes[Corridor],E81,Routes[Direction],F81)=0,"Unknown route",IF(C81="","Missing date",IF(SUM(O81:U81)&lt;=0,"No distance","OK"))))</f>
        <v>OK</v>
      </c>
      <c r="AB81" s="17">
        <f t="shared" si="114"/>
        <v>46266</v>
      </c>
      <c r="AC81" s="14">
        <f>--(COUNTIFS($C$5:C81,C81,$D$5:D81,D81,$G$5:G81,G81,$F$5:F81,F81)=1)</f>
        <v>1</v>
      </c>
      <c r="AD81" s="14">
        <f t="shared" si="93"/>
        <v>0</v>
      </c>
      <c r="AE81" s="14">
        <f t="shared" si="94"/>
        <v>1</v>
      </c>
      <c r="AF81" s="14">
        <f t="shared" si="115"/>
        <v>0</v>
      </c>
      <c r="AG81" s="14">
        <f>SUMIFS(Routes[Net elevation (m)],Routes[Corridor],E81,Routes[Direction],F81)</f>
        <v>880</v>
      </c>
      <c r="AH81" s="14">
        <f t="shared" si="95"/>
        <v>16500</v>
      </c>
      <c r="AI81" s="14">
        <f t="shared" si="96"/>
        <v>0.25</v>
      </c>
      <c r="AJ81" s="14">
        <f t="shared" si="97"/>
        <v>8.1</v>
      </c>
      <c r="AK81" s="14">
        <f t="shared" si="116"/>
        <v>325.41591380093513</v>
      </c>
      <c r="AL81" s="14">
        <f t="shared" si="117"/>
        <v>6.5395155555555542</v>
      </c>
      <c r="AM81" s="14">
        <f t="shared" si="118"/>
        <v>5.7000711111111109</v>
      </c>
      <c r="AN81" s="14">
        <f t="shared" si="119"/>
        <v>0.42861111111111116</v>
      </c>
      <c r="AO81" s="14">
        <f t="shared" si="120"/>
        <v>5.2714599999999994</v>
      </c>
      <c r="AP81" s="14">
        <f t="shared" si="121"/>
        <v>61.647811864696479</v>
      </c>
      <c r="AQ81" s="14">
        <f t="shared" si="122"/>
        <v>4.9494764691396584</v>
      </c>
      <c r="AR81" s="14">
        <f t="shared" si="123"/>
        <v>53.761705842836641</v>
      </c>
      <c r="AS81" s="14">
        <f t="shared" si="124"/>
        <v>55.352760600229132</v>
      </c>
      <c r="AT81" s="14">
        <f t="shared" si="125"/>
        <v>68.323742704891629</v>
      </c>
      <c r="AU81" s="14">
        <f t="shared" si="98"/>
        <v>163.7535095237379</v>
      </c>
      <c r="AV81" s="14">
        <f t="shared" si="99"/>
        <v>27.139647517849653</v>
      </c>
      <c r="AW81" s="14">
        <f t="shared" si="126"/>
        <v>76.779991761715507</v>
      </c>
      <c r="AX81" s="14">
        <f t="shared" si="100"/>
        <v>39.567</v>
      </c>
      <c r="AY81" s="14">
        <f t="shared" si="127"/>
        <v>163.7535095237379</v>
      </c>
      <c r="AZ81" s="14">
        <f t="shared" si="101"/>
        <v>39.567</v>
      </c>
      <c r="BA81" s="14">
        <f t="shared" si="102"/>
        <v>49.640344243865854</v>
      </c>
      <c r="BB81" s="14">
        <f t="shared" si="128"/>
        <v>280.10050128545339</v>
      </c>
      <c r="BC81" s="14">
        <f t="shared" si="103"/>
        <v>337.73497472171391</v>
      </c>
      <c r="BD81" s="14">
        <f t="shared" si="104"/>
        <v>46.170575999999997</v>
      </c>
      <c r="BE81" s="14">
        <f t="shared" si="105"/>
        <v>0</v>
      </c>
      <c r="BF81" s="14">
        <f t="shared" si="106"/>
        <v>24.701531699190085</v>
      </c>
      <c r="BG81" s="14">
        <f t="shared" si="129"/>
        <v>359.20401902252382</v>
      </c>
      <c r="BH81" s="14" t="str">
        <f t="shared" si="107"/>
        <v/>
      </c>
      <c r="BI81" s="14">
        <f t="shared" si="108"/>
        <v>1</v>
      </c>
      <c r="BJ81" s="14">
        <f t="shared" si="130"/>
        <v>359.20401902252382</v>
      </c>
      <c r="BK81" s="14">
        <f t="shared" si="109"/>
        <v>1293.1344684810858</v>
      </c>
      <c r="BL81" s="14" t="str">
        <f t="shared" si="110"/>
        <v/>
      </c>
      <c r="BM81" s="14">
        <f t="shared" si="111"/>
        <v>390.43915111143895</v>
      </c>
      <c r="BN81" s="14">
        <f t="shared" si="131"/>
        <v>1.1038305251483727</v>
      </c>
      <c r="BO81" s="14">
        <f t="shared" si="132"/>
        <v>0.90593617155639339</v>
      </c>
      <c r="BP81" s="14" t="str">
        <f t="shared" si="133"/>
        <v/>
      </c>
      <c r="BQ81" s="22">
        <f t="shared" si="134"/>
        <v>0.77978108944234759</v>
      </c>
      <c r="BR81" s="14">
        <f t="shared" si="112"/>
        <v>3709.1719355586702</v>
      </c>
      <c r="BS81" s="14">
        <f t="shared" si="113"/>
        <v>277.21179728912165</v>
      </c>
      <c r="BT81" s="14">
        <f t="shared" si="135"/>
        <v>11.398249987945155</v>
      </c>
      <c r="BU81" s="14">
        <f t="shared" si="136"/>
        <v>0.8518692096253746</v>
      </c>
      <c r="BV81" s="22" t="str">
        <f t="shared" si="137"/>
        <v/>
      </c>
      <c r="BW81" s="14" t="e">
        <f t="shared" si="138"/>
        <v>#N/A</v>
      </c>
      <c r="BX81" s="14" t="e">
        <f t="shared" si="139"/>
        <v>#N/A</v>
      </c>
    </row>
    <row r="82" spans="1:76" x14ac:dyDescent="0.25">
      <c r="A82" s="12" t="s">
        <v>535</v>
      </c>
      <c r="B82" s="12" t="s">
        <v>229</v>
      </c>
      <c r="C82" s="15">
        <v>46283</v>
      </c>
      <c r="D82" s="12" t="s">
        <v>457</v>
      </c>
      <c r="E82" s="12" t="s">
        <v>531</v>
      </c>
      <c r="F82" s="12" t="s">
        <v>532</v>
      </c>
      <c r="G82" s="16">
        <v>0.72056712962962965</v>
      </c>
      <c r="H82" s="14">
        <v>0</v>
      </c>
      <c r="I82" s="14">
        <v>62.766666666666673</v>
      </c>
      <c r="J82" s="14">
        <v>7.8833333333333337</v>
      </c>
      <c r="K82" s="14">
        <v>2.9833333333333329</v>
      </c>
      <c r="L82" s="14">
        <v>67.358066666666659</v>
      </c>
      <c r="M82" s="14">
        <v>47.916666666666657</v>
      </c>
      <c r="N82" s="14">
        <v>222.97454999999999</v>
      </c>
      <c r="O82" s="14">
        <v>0</v>
      </c>
      <c r="P82" s="14">
        <v>0.90317783554809627</v>
      </c>
      <c r="Q82" s="14">
        <v>0.1049872832033934</v>
      </c>
      <c r="R82" s="14">
        <v>0.63732161434013213</v>
      </c>
      <c r="S82" s="14">
        <v>52.912666076357993</v>
      </c>
      <c r="T82" s="14">
        <v>38.055957494648879</v>
      </c>
      <c r="U82" s="14">
        <v>232.43940737094141</v>
      </c>
      <c r="V82" s="18"/>
      <c r="W82" s="18"/>
      <c r="X82" s="18"/>
      <c r="Y82" s="18"/>
      <c r="Z82" s="18"/>
      <c r="AA82" s="14" t="str">
        <f>IF(AND(D82&lt;&gt;"EV",D82&lt;&gt;"Diesel"),"Invalid vehicle",IF(COUNTIFS(Routes[Corridor],E82,Routes[Direction],F82)=0,"Unknown route",IF(C82="","Missing date",IF(SUM(O82:U82)&lt;=0,"No distance","OK"))))</f>
        <v>OK</v>
      </c>
      <c r="AB82" s="17">
        <f t="shared" si="114"/>
        <v>46266</v>
      </c>
      <c r="AC82" s="14">
        <f>--(COUNTIFS($C$5:C82,C82,$D$5:D82,D82,$G$5:G82,G82,$F$5:F82,F82)=1)</f>
        <v>1</v>
      </c>
      <c r="AD82" s="14">
        <f t="shared" si="93"/>
        <v>0</v>
      </c>
      <c r="AE82" s="14">
        <f t="shared" si="94"/>
        <v>1</v>
      </c>
      <c r="AF82" s="14">
        <f t="shared" si="115"/>
        <v>0</v>
      </c>
      <c r="AG82" s="14">
        <f>SUMIFS(Routes[Net elevation (m)],Routes[Corridor],E82,Routes[Direction],F82)</f>
        <v>880</v>
      </c>
      <c r="AH82" s="14">
        <f t="shared" si="95"/>
        <v>14500</v>
      </c>
      <c r="AI82" s="14">
        <f t="shared" si="96"/>
        <v>0.25</v>
      </c>
      <c r="AJ82" s="14">
        <f t="shared" si="97"/>
        <v>8.1</v>
      </c>
      <c r="AK82" s="14">
        <f t="shared" si="116"/>
        <v>325.05351767503987</v>
      </c>
      <c r="AL82" s="14">
        <f t="shared" si="117"/>
        <v>6.8647102777777773</v>
      </c>
      <c r="AM82" s="14">
        <f t="shared" si="118"/>
        <v>6.8647102777777773</v>
      </c>
      <c r="AN82" s="14">
        <f t="shared" si="119"/>
        <v>1.1775</v>
      </c>
      <c r="AO82" s="14">
        <f t="shared" si="120"/>
        <v>5.687210277777778</v>
      </c>
      <c r="AP82" s="14">
        <f t="shared" si="121"/>
        <v>56.977909507314017</v>
      </c>
      <c r="AQ82" s="14">
        <f t="shared" si="122"/>
        <v>12.817641405723329</v>
      </c>
      <c r="AR82" s="14">
        <f t="shared" si="123"/>
        <v>47.132587404747568</v>
      </c>
      <c r="AS82" s="14">
        <f t="shared" si="124"/>
        <v>47.652677210690783</v>
      </c>
      <c r="AT82" s="14">
        <f t="shared" si="125"/>
        <v>62.546889060910694</v>
      </c>
      <c r="AU82" s="14">
        <f t="shared" si="98"/>
        <v>148.60017160599565</v>
      </c>
      <c r="AV82" s="14">
        <f t="shared" si="99"/>
        <v>16.350440715501971</v>
      </c>
      <c r="AW82" s="14">
        <f t="shared" si="126"/>
        <v>53.280115146332697</v>
      </c>
      <c r="AX82" s="14">
        <f t="shared" si="100"/>
        <v>34.771000000000001</v>
      </c>
      <c r="AY82" s="14">
        <f t="shared" si="127"/>
        <v>148.60017160599565</v>
      </c>
      <c r="AZ82" s="14">
        <f t="shared" si="101"/>
        <v>34.771000000000001</v>
      </c>
      <c r="BA82" s="14">
        <f t="shared" si="102"/>
        <v>36.92967443083073</v>
      </c>
      <c r="BB82" s="14">
        <f t="shared" si="128"/>
        <v>236.65128675232836</v>
      </c>
      <c r="BC82" s="14">
        <f t="shared" si="103"/>
        <v>734.94188432400108</v>
      </c>
      <c r="BD82" s="14">
        <f t="shared" si="104"/>
        <v>131.61829500000002</v>
      </c>
      <c r="BE82" s="14">
        <f t="shared" si="105"/>
        <v>29.355729166666666</v>
      </c>
      <c r="BF82" s="14">
        <f t="shared" si="106"/>
        <v>0</v>
      </c>
      <c r="BG82" s="14">
        <f t="shared" si="129"/>
        <v>895.91590849066779</v>
      </c>
      <c r="BH82" s="14" t="str">
        <f t="shared" si="107"/>
        <v/>
      </c>
      <c r="BI82" s="14">
        <f t="shared" si="108"/>
        <v>1</v>
      </c>
      <c r="BJ82" s="14">
        <f t="shared" si="130"/>
        <v>895.91590849066779</v>
      </c>
      <c r="BK82" s="14">
        <f t="shared" si="109"/>
        <v>3225.2972705664042</v>
      </c>
      <c r="BL82" s="14">
        <f t="shared" si="110"/>
        <v>89.841149597949979</v>
      </c>
      <c r="BM82" s="14" t="str">
        <f t="shared" si="111"/>
        <v/>
      </c>
      <c r="BN82" s="14">
        <f t="shared" si="131"/>
        <v>2.7562104692751741</v>
      </c>
      <c r="BO82" s="14">
        <f t="shared" si="132"/>
        <v>0.3628169949818742</v>
      </c>
      <c r="BP82" s="14">
        <f t="shared" si="133"/>
        <v>3.6180916999581338</v>
      </c>
      <c r="BQ82" s="22">
        <f t="shared" si="134"/>
        <v>0.26414453020597684</v>
      </c>
      <c r="BR82" s="14">
        <f t="shared" si="112"/>
        <v>8265.385763011398</v>
      </c>
      <c r="BS82" s="14">
        <f t="shared" si="113"/>
        <v>240.77428092250597</v>
      </c>
      <c r="BT82" s="14">
        <f t="shared" si="135"/>
        <v>25.427769009023336</v>
      </c>
      <c r="BU82" s="14">
        <f t="shared" si="136"/>
        <v>0.7407219667845929</v>
      </c>
      <c r="BV82" s="22" t="str">
        <f t="shared" si="137"/>
        <v/>
      </c>
      <c r="BW82" s="14" t="e">
        <f t="shared" si="138"/>
        <v>#N/A</v>
      </c>
      <c r="BX82" s="14" t="e">
        <f t="shared" si="139"/>
        <v>#N/A</v>
      </c>
    </row>
    <row r="83" spans="1:76" x14ac:dyDescent="0.25">
      <c r="A83" s="12" t="s">
        <v>536</v>
      </c>
      <c r="B83" s="12" t="s">
        <v>234</v>
      </c>
      <c r="C83" s="15">
        <v>46276</v>
      </c>
      <c r="D83" s="12" t="s">
        <v>300</v>
      </c>
      <c r="E83" s="12" t="s">
        <v>531</v>
      </c>
      <c r="F83" s="12" t="s">
        <v>532</v>
      </c>
      <c r="G83" s="16">
        <v>0.97013888888888888</v>
      </c>
      <c r="H83" s="14">
        <v>50.366666666666667</v>
      </c>
      <c r="I83" s="14">
        <v>8.3666666666666671</v>
      </c>
      <c r="J83" s="14">
        <v>17.350000000000001</v>
      </c>
      <c r="K83" s="14">
        <v>4.75</v>
      </c>
      <c r="L83" s="14">
        <v>75.683333333333337</v>
      </c>
      <c r="M83" s="14">
        <v>57.18333333333333</v>
      </c>
      <c r="N83" s="14">
        <v>181.3</v>
      </c>
      <c r="O83" s="14">
        <v>0.1423627546916193</v>
      </c>
      <c r="P83" s="14">
        <v>0.19087658536061269</v>
      </c>
      <c r="Q83" s="14">
        <v>0.1087001286100384</v>
      </c>
      <c r="R83" s="14">
        <v>0.39868431866922599</v>
      </c>
      <c r="S83" s="14">
        <v>67.358249040373622</v>
      </c>
      <c r="T83" s="14">
        <v>52.27381680184341</v>
      </c>
      <c r="U83" s="14">
        <v>205.9508621472857</v>
      </c>
      <c r="V83" s="18"/>
      <c r="W83" s="18"/>
      <c r="X83" s="18"/>
      <c r="Y83" s="18"/>
      <c r="Z83" s="18"/>
      <c r="AA83" s="14" t="str">
        <f>IF(AND(D83&lt;&gt;"EV",D83&lt;&gt;"Diesel"),"Invalid vehicle",IF(COUNTIFS(Routes[Corridor],E83,Routes[Direction],F83)=0,"Unknown route",IF(C83="","Missing date",IF(SUM(O83:U83)&lt;=0,"No distance","OK"))))</f>
        <v>OK</v>
      </c>
      <c r="AB83" s="17">
        <f t="shared" si="114"/>
        <v>46266</v>
      </c>
      <c r="AC83" s="14">
        <f>--(COUNTIFS($C$5:C83,C83,$D$5:D83,D83,$G$5:G83,G83,$F$5:F83,F83)=1)</f>
        <v>0</v>
      </c>
      <c r="AD83" s="14">
        <f t="shared" si="93"/>
        <v>0</v>
      </c>
      <c r="AE83" s="14">
        <f t="shared" si="94"/>
        <v>1</v>
      </c>
      <c r="AF83" s="14">
        <f t="shared" si="115"/>
        <v>0</v>
      </c>
      <c r="AG83" s="14">
        <f>SUMIFS(Routes[Net elevation (m)],Routes[Corridor],E83,Routes[Direction],F83)</f>
        <v>880</v>
      </c>
      <c r="AH83" s="14">
        <f t="shared" si="95"/>
        <v>16500</v>
      </c>
      <c r="AI83" s="14">
        <f t="shared" si="96"/>
        <v>0.25</v>
      </c>
      <c r="AJ83" s="14">
        <f t="shared" si="97"/>
        <v>8.1</v>
      </c>
      <c r="AK83" s="14">
        <f t="shared" si="116"/>
        <v>326.42355177683424</v>
      </c>
      <c r="AL83" s="14">
        <f t="shared" si="117"/>
        <v>6.583333333333333</v>
      </c>
      <c r="AM83" s="14">
        <f t="shared" si="118"/>
        <v>5.7438888888888888</v>
      </c>
      <c r="AN83" s="14">
        <f t="shared" si="119"/>
        <v>0.42861111111111116</v>
      </c>
      <c r="AO83" s="14">
        <f t="shared" si="120"/>
        <v>5.3152777777777782</v>
      </c>
      <c r="AP83" s="14">
        <f t="shared" si="121"/>
        <v>61.329177126178159</v>
      </c>
      <c r="AQ83" s="14">
        <f t="shared" si="122"/>
        <v>5.036012446348118</v>
      </c>
      <c r="AR83" s="14">
        <f t="shared" si="123"/>
        <v>53.400065303973804</v>
      </c>
      <c r="AS83" s="14">
        <f t="shared" si="124"/>
        <v>54.848656510240829</v>
      </c>
      <c r="AT83" s="14">
        <f t="shared" si="125"/>
        <v>68.158034908092333</v>
      </c>
      <c r="AU83" s="14">
        <f t="shared" si="98"/>
        <v>163.7187923348782</v>
      </c>
      <c r="AV83" s="14">
        <f t="shared" si="99"/>
        <v>27.052092386323906</v>
      </c>
      <c r="AW83" s="14">
        <f t="shared" si="126"/>
        <v>77.181327025428104</v>
      </c>
      <c r="AX83" s="14">
        <f t="shared" si="100"/>
        <v>39.567</v>
      </c>
      <c r="AY83" s="14">
        <f t="shared" si="127"/>
        <v>163.7187923348782</v>
      </c>
      <c r="AZ83" s="14">
        <f t="shared" si="101"/>
        <v>39.567</v>
      </c>
      <c r="BA83" s="14">
        <f t="shared" si="102"/>
        <v>50.129234639104197</v>
      </c>
      <c r="BB83" s="14">
        <f t="shared" si="128"/>
        <v>280.4671193603063</v>
      </c>
      <c r="BC83" s="14">
        <f t="shared" si="103"/>
        <v>338.17702943305761</v>
      </c>
      <c r="BD83" s="14">
        <f t="shared" si="104"/>
        <v>46.525500000000001</v>
      </c>
      <c r="BE83" s="14">
        <f t="shared" si="105"/>
        <v>0</v>
      </c>
      <c r="BF83" s="14">
        <f t="shared" si="106"/>
        <v>24.944808448764636</v>
      </c>
      <c r="BG83" s="14">
        <f t="shared" si="129"/>
        <v>359.75772098429297</v>
      </c>
      <c r="BH83" s="14" t="str">
        <f t="shared" si="107"/>
        <v/>
      </c>
      <c r="BI83" s="14">
        <f t="shared" si="108"/>
        <v>1</v>
      </c>
      <c r="BJ83" s="14">
        <f t="shared" si="130"/>
        <v>359.75772098429297</v>
      </c>
      <c r="BK83" s="14">
        <f t="shared" si="109"/>
        <v>1295.1277955434548</v>
      </c>
      <c r="BL83" s="14" t="str">
        <f t="shared" si="110"/>
        <v/>
      </c>
      <c r="BM83" s="14">
        <f t="shared" si="111"/>
        <v>391.04100106988363</v>
      </c>
      <c r="BN83" s="14">
        <f t="shared" si="131"/>
        <v>1.1021193753514706</v>
      </c>
      <c r="BO83" s="14">
        <f t="shared" si="132"/>
        <v>0.90734272744374511</v>
      </c>
      <c r="BP83" s="14" t="str">
        <f t="shared" si="133"/>
        <v/>
      </c>
      <c r="BQ83" s="22">
        <f t="shared" si="134"/>
        <v>0.77960000022501674</v>
      </c>
      <c r="BR83" s="14">
        <f t="shared" si="112"/>
        <v>3714.8895101638946</v>
      </c>
      <c r="BS83" s="14">
        <f t="shared" si="113"/>
        <v>277.63911075961738</v>
      </c>
      <c r="BT83" s="14">
        <f t="shared" si="135"/>
        <v>11.380580506346707</v>
      </c>
      <c r="BU83" s="14">
        <f t="shared" si="136"/>
        <v>0.85054864836906963</v>
      </c>
      <c r="BV83" s="22" t="str">
        <f t="shared" si="137"/>
        <v/>
      </c>
      <c r="BW83" s="14" t="e">
        <f t="shared" si="138"/>
        <v>#N/A</v>
      </c>
      <c r="BX83" s="14" t="e">
        <f t="shared" si="139"/>
        <v>#N/A</v>
      </c>
    </row>
    <row r="84" spans="1:76" x14ac:dyDescent="0.25">
      <c r="A84" s="12" t="s">
        <v>537</v>
      </c>
      <c r="B84" s="12" t="s">
        <v>234</v>
      </c>
      <c r="C84" s="15">
        <v>46297</v>
      </c>
      <c r="D84" s="12" t="s">
        <v>457</v>
      </c>
      <c r="E84" s="12" t="s">
        <v>531</v>
      </c>
      <c r="F84" s="12" t="s">
        <v>532</v>
      </c>
      <c r="G84" s="16">
        <v>0.97912037037037036</v>
      </c>
      <c r="H84" s="14">
        <v>0</v>
      </c>
      <c r="I84" s="14">
        <v>3.0166666666666671</v>
      </c>
      <c r="J84" s="14">
        <v>4.3</v>
      </c>
      <c r="K84" s="14">
        <v>1.8833333333333331</v>
      </c>
      <c r="L84" s="14">
        <v>49.166666666666657</v>
      </c>
      <c r="M84" s="14">
        <v>35.333333333333343</v>
      </c>
      <c r="N84" s="14">
        <v>225.80481666666671</v>
      </c>
      <c r="O84" s="14">
        <v>0</v>
      </c>
      <c r="P84" s="14">
        <v>2.1664931883547331E-3</v>
      </c>
      <c r="Q84" s="14">
        <v>4.085835435001741E-2</v>
      </c>
      <c r="R84" s="14">
        <v>0.36129624957342932</v>
      </c>
      <c r="S84" s="14">
        <v>42.505617415062652</v>
      </c>
      <c r="T84" s="14">
        <v>30.728695534576911</v>
      </c>
      <c r="U84" s="14">
        <v>252.31347506200601</v>
      </c>
      <c r="V84" s="18"/>
      <c r="W84" s="18"/>
      <c r="X84" s="18"/>
      <c r="Y84" s="18"/>
      <c r="Z84" s="18"/>
      <c r="AA84" s="14" t="str">
        <f>IF(AND(D84&lt;&gt;"EV",D84&lt;&gt;"Diesel"),"Invalid vehicle",IF(COUNTIFS(Routes[Corridor],E84,Routes[Direction],F84)=0,"Unknown route",IF(C84="","Missing date",IF(SUM(O84:U84)&lt;=0,"No distance","OK"))))</f>
        <v>OK</v>
      </c>
      <c r="AB84" s="17">
        <f t="shared" si="114"/>
        <v>46296</v>
      </c>
      <c r="AC84" s="14">
        <f>--(COUNTIFS($C$5:C84,C84,$D$5:D84,D84,$G$5:G84,G84,$F$5:F84,F84)=1)</f>
        <v>1</v>
      </c>
      <c r="AD84" s="14">
        <f t="shared" si="93"/>
        <v>0</v>
      </c>
      <c r="AE84" s="14">
        <f t="shared" si="94"/>
        <v>1</v>
      </c>
      <c r="AF84" s="14">
        <f t="shared" si="115"/>
        <v>0</v>
      </c>
      <c r="AG84" s="14">
        <f>SUMIFS(Routes[Net elevation (m)],Routes[Corridor],E84,Routes[Direction],F84)</f>
        <v>880</v>
      </c>
      <c r="AH84" s="14">
        <f t="shared" si="95"/>
        <v>14500</v>
      </c>
      <c r="AI84" s="14">
        <f t="shared" si="96"/>
        <v>0.25</v>
      </c>
      <c r="AJ84" s="14">
        <f t="shared" si="97"/>
        <v>8.1</v>
      </c>
      <c r="AK84" s="14">
        <f t="shared" si="116"/>
        <v>325.95210910875738</v>
      </c>
      <c r="AL84" s="14">
        <f t="shared" si="117"/>
        <v>5.3250802777777784</v>
      </c>
      <c r="AM84" s="14">
        <f t="shared" si="118"/>
        <v>5.3250802777777784</v>
      </c>
      <c r="AN84" s="14">
        <f t="shared" si="119"/>
        <v>0.12194444444444444</v>
      </c>
      <c r="AO84" s="14">
        <f t="shared" si="120"/>
        <v>5.2031358333333344</v>
      </c>
      <c r="AP84" s="14">
        <f t="shared" si="121"/>
        <v>62.637050944032104</v>
      </c>
      <c r="AQ84" s="14">
        <f t="shared" si="122"/>
        <v>11.510322995259697</v>
      </c>
      <c r="AR84" s="14">
        <f t="shared" si="123"/>
        <v>51.871261930245957</v>
      </c>
      <c r="AS84" s="14">
        <f t="shared" si="124"/>
        <v>52.18080373796078</v>
      </c>
      <c r="AT84" s="14">
        <f t="shared" si="125"/>
        <v>67.043780231084639</v>
      </c>
      <c r="AU84" s="14">
        <f t="shared" si="98"/>
        <v>165.80835543845737</v>
      </c>
      <c r="AV84" s="14">
        <f t="shared" si="99"/>
        <v>14.138631136281052</v>
      </c>
      <c r="AW84" s="14">
        <f t="shared" si="126"/>
        <v>42.800795313778366</v>
      </c>
      <c r="AX84" s="14">
        <f t="shared" si="100"/>
        <v>34.771000000000001</v>
      </c>
      <c r="AY84" s="14">
        <f t="shared" si="127"/>
        <v>165.80835543845737</v>
      </c>
      <c r="AZ84" s="14">
        <f t="shared" si="101"/>
        <v>34.771000000000001</v>
      </c>
      <c r="BA84" s="14">
        <f t="shared" si="102"/>
        <v>28.662164177497313</v>
      </c>
      <c r="BB84" s="14">
        <f t="shared" si="128"/>
        <v>243.38015075223575</v>
      </c>
      <c r="BC84" s="14">
        <f t="shared" si="103"/>
        <v>755.83897749141533</v>
      </c>
      <c r="BD84" s="14">
        <f t="shared" si="104"/>
        <v>120.41542928571432</v>
      </c>
      <c r="BE84" s="14">
        <f t="shared" si="105"/>
        <v>3.0401427469135798</v>
      </c>
      <c r="BF84" s="14">
        <f t="shared" si="106"/>
        <v>0</v>
      </c>
      <c r="BG84" s="14">
        <f t="shared" si="129"/>
        <v>879.2945495240433</v>
      </c>
      <c r="BH84" s="14" t="str">
        <f t="shared" si="107"/>
        <v/>
      </c>
      <c r="BI84" s="14">
        <f t="shared" si="108"/>
        <v>1</v>
      </c>
      <c r="BJ84" s="14">
        <f t="shared" si="130"/>
        <v>879.2945495240433</v>
      </c>
      <c r="BK84" s="14">
        <f t="shared" si="109"/>
        <v>3165.4603782865561</v>
      </c>
      <c r="BL84" s="14">
        <f t="shared" si="110"/>
        <v>88.174383796282896</v>
      </c>
      <c r="BM84" s="14" t="str">
        <f t="shared" si="111"/>
        <v/>
      </c>
      <c r="BN84" s="14">
        <f t="shared" si="131"/>
        <v>2.6976188370993399</v>
      </c>
      <c r="BO84" s="14">
        <f t="shared" si="132"/>
        <v>0.37069729283002295</v>
      </c>
      <c r="BP84" s="14">
        <f t="shared" si="133"/>
        <v>3.6966757812771731</v>
      </c>
      <c r="BQ84" s="22">
        <f t="shared" si="134"/>
        <v>0.27679024154531146</v>
      </c>
      <c r="BR84" s="14">
        <f t="shared" si="112"/>
        <v>8112.0433092580261</v>
      </c>
      <c r="BS84" s="14">
        <f t="shared" si="113"/>
        <v>236.30734857403817</v>
      </c>
      <c r="BT84" s="14">
        <f t="shared" si="135"/>
        <v>24.887224480426223</v>
      </c>
      <c r="BU84" s="14">
        <f t="shared" si="136"/>
        <v>0.72497566964719873</v>
      </c>
      <c r="BV84" s="22" t="str">
        <f t="shared" si="137"/>
        <v/>
      </c>
      <c r="BW84" s="14" t="e">
        <f t="shared" si="138"/>
        <v>#N/A</v>
      </c>
      <c r="BX84" s="14" t="e">
        <f t="shared" si="139"/>
        <v>#N/A</v>
      </c>
    </row>
    <row r="85" spans="1:76" x14ac:dyDescent="0.25">
      <c r="A85" s="12" t="s">
        <v>538</v>
      </c>
      <c r="B85" s="12" t="s">
        <v>238</v>
      </c>
      <c r="C85" s="15">
        <v>46297</v>
      </c>
      <c r="D85" s="12" t="s">
        <v>300</v>
      </c>
      <c r="E85" s="12" t="s">
        <v>531</v>
      </c>
      <c r="F85" s="12" t="s">
        <v>532</v>
      </c>
      <c r="G85" s="16">
        <v>0.96744212962962961</v>
      </c>
      <c r="H85" s="14">
        <v>44.68333333333333</v>
      </c>
      <c r="I85" s="14">
        <v>6.6833333333333336</v>
      </c>
      <c r="J85" s="14">
        <v>11.75</v>
      </c>
      <c r="K85" s="14">
        <v>2.0166666666666671</v>
      </c>
      <c r="L85" s="14">
        <v>64.3</v>
      </c>
      <c r="M85" s="14">
        <v>51.866666666666667</v>
      </c>
      <c r="N85" s="14">
        <v>172.54785000000001</v>
      </c>
      <c r="O85" s="14">
        <v>5.2222732101069563E-2</v>
      </c>
      <c r="P85" s="14">
        <v>0.12701409600270411</v>
      </c>
      <c r="Q85" s="14">
        <v>3.1548608690509579E-2</v>
      </c>
      <c r="R85" s="14">
        <v>0.16750319091501231</v>
      </c>
      <c r="S85" s="14">
        <v>59.993505539180077</v>
      </c>
      <c r="T85" s="14">
        <v>53.823119668093447</v>
      </c>
      <c r="U85" s="14">
        <v>211.25438556095691</v>
      </c>
      <c r="V85" s="18"/>
      <c r="W85" s="18"/>
      <c r="X85" s="18"/>
      <c r="Y85" s="18"/>
      <c r="Z85" s="18"/>
      <c r="AA85" s="14" t="str">
        <f>IF(AND(D85&lt;&gt;"EV",D85&lt;&gt;"Diesel"),"Invalid vehicle",IF(COUNTIFS(Routes[Corridor],E85,Routes[Direction],F85)=0,"Unknown route",IF(C85="","Missing date",IF(SUM(O85:U85)&lt;=0,"No distance","OK"))))</f>
        <v>OK</v>
      </c>
      <c r="AB85" s="17">
        <f t="shared" si="114"/>
        <v>46296</v>
      </c>
      <c r="AC85" s="14">
        <f>--(COUNTIFS($C$5:C85,C85,$D$5:D85,D85,$G$5:G85,G85,$F$5:F85,F85)=1)</f>
        <v>1</v>
      </c>
      <c r="AD85" s="14">
        <f t="shared" si="93"/>
        <v>0</v>
      </c>
      <c r="AE85" s="14">
        <f t="shared" si="94"/>
        <v>1</v>
      </c>
      <c r="AF85" s="14">
        <f t="shared" si="115"/>
        <v>0</v>
      </c>
      <c r="AG85" s="14">
        <f>SUMIFS(Routes[Net elevation (m)],Routes[Corridor],E85,Routes[Direction],F85)</f>
        <v>880</v>
      </c>
      <c r="AH85" s="14">
        <f t="shared" si="95"/>
        <v>16500</v>
      </c>
      <c r="AI85" s="14">
        <f t="shared" si="96"/>
        <v>0.25</v>
      </c>
      <c r="AJ85" s="14">
        <f t="shared" si="97"/>
        <v>8.1</v>
      </c>
      <c r="AK85" s="14">
        <f t="shared" si="116"/>
        <v>325.44929939593976</v>
      </c>
      <c r="AL85" s="14">
        <f t="shared" si="117"/>
        <v>5.8974641666666665</v>
      </c>
      <c r="AM85" s="14">
        <f t="shared" si="118"/>
        <v>5.1527419444444451</v>
      </c>
      <c r="AN85" s="14">
        <f t="shared" si="119"/>
        <v>0.30722222222222223</v>
      </c>
      <c r="AO85" s="14">
        <f t="shared" si="120"/>
        <v>4.8455197222222219</v>
      </c>
      <c r="AP85" s="14">
        <f t="shared" si="121"/>
        <v>67.121492142020756</v>
      </c>
      <c r="AQ85" s="14">
        <f t="shared" si="122"/>
        <v>4.9835660106945801</v>
      </c>
      <c r="AR85" s="14">
        <f t="shared" si="123"/>
        <v>55.981498170308008</v>
      </c>
      <c r="AS85" s="14">
        <f t="shared" si="124"/>
        <v>62.263248973372882</v>
      </c>
      <c r="AT85" s="14">
        <f t="shared" si="125"/>
        <v>73.459409280714965</v>
      </c>
      <c r="AU85" s="14">
        <f t="shared" si="98"/>
        <v>175.00114251324283</v>
      </c>
      <c r="AV85" s="14">
        <f t="shared" si="99"/>
        <v>31.004001441200771</v>
      </c>
      <c r="AW85" s="14">
        <f t="shared" si="126"/>
        <v>68.74255843031051</v>
      </c>
      <c r="AX85" s="14">
        <f t="shared" si="100"/>
        <v>39.567</v>
      </c>
      <c r="AY85" s="14">
        <f t="shared" si="127"/>
        <v>175.00114251324283</v>
      </c>
      <c r="AZ85" s="14">
        <f t="shared" si="101"/>
        <v>39.567</v>
      </c>
      <c r="BA85" s="14">
        <f t="shared" si="102"/>
        <v>37.738556989109739</v>
      </c>
      <c r="BB85" s="14">
        <f t="shared" si="128"/>
        <v>283.31070094355334</v>
      </c>
      <c r="BC85" s="14">
        <f t="shared" si="103"/>
        <v>341.60571645692818</v>
      </c>
      <c r="BD85" s="14">
        <f t="shared" si="104"/>
        <v>41.737209750000005</v>
      </c>
      <c r="BE85" s="14">
        <f t="shared" si="105"/>
        <v>0</v>
      </c>
      <c r="BF85" s="14">
        <f t="shared" si="106"/>
        <v>18.779083343350894</v>
      </c>
      <c r="BG85" s="14">
        <f t="shared" si="129"/>
        <v>364.56384286357724</v>
      </c>
      <c r="BH85" s="14" t="str">
        <f t="shared" si="107"/>
        <v/>
      </c>
      <c r="BI85" s="14">
        <f t="shared" si="108"/>
        <v>1</v>
      </c>
      <c r="BJ85" s="14">
        <f t="shared" si="130"/>
        <v>364.56384286357724</v>
      </c>
      <c r="BK85" s="14">
        <f t="shared" si="109"/>
        <v>1312.4298343088781</v>
      </c>
      <c r="BL85" s="14" t="str">
        <f t="shared" si="110"/>
        <v/>
      </c>
      <c r="BM85" s="14">
        <f t="shared" si="111"/>
        <v>396.2650465908448</v>
      </c>
      <c r="BN85" s="14">
        <f t="shared" si="131"/>
        <v>1.120186288740634</v>
      </c>
      <c r="BO85" s="14">
        <f t="shared" si="132"/>
        <v>0.89270865931080701</v>
      </c>
      <c r="BP85" s="14" t="str">
        <f t="shared" si="133"/>
        <v/>
      </c>
      <c r="BQ85" s="22">
        <f t="shared" si="134"/>
        <v>0.77712232435944151</v>
      </c>
      <c r="BR85" s="14">
        <f t="shared" si="112"/>
        <v>3764.5179426130258</v>
      </c>
      <c r="BS85" s="14">
        <f t="shared" si="113"/>
        <v>281.34818307949979</v>
      </c>
      <c r="BT85" s="14">
        <f t="shared" si="135"/>
        <v>11.567141025039156</v>
      </c>
      <c r="BU85" s="14">
        <f t="shared" si="136"/>
        <v>0.86449159239766316</v>
      </c>
      <c r="BV85" s="22" t="str">
        <f t="shared" si="137"/>
        <v/>
      </c>
      <c r="BW85" s="14" t="e">
        <f t="shared" si="138"/>
        <v>#N/A</v>
      </c>
      <c r="BX85" s="14" t="e">
        <f t="shared" si="139"/>
        <v>#N/A</v>
      </c>
    </row>
    <row r="86" spans="1:76" x14ac:dyDescent="0.25">
      <c r="A86" s="12" t="s">
        <v>539</v>
      </c>
      <c r="B86" s="12" t="s">
        <v>238</v>
      </c>
      <c r="C86" s="15">
        <v>46276</v>
      </c>
      <c r="D86" s="12" t="s">
        <v>457</v>
      </c>
      <c r="E86" s="12" t="s">
        <v>531</v>
      </c>
      <c r="F86" s="12" t="s">
        <v>532</v>
      </c>
      <c r="G86" s="16">
        <v>0.97721064814814818</v>
      </c>
      <c r="H86" s="14">
        <v>0</v>
      </c>
      <c r="I86" s="14">
        <v>42.65</v>
      </c>
      <c r="J86" s="14">
        <v>4.45</v>
      </c>
      <c r="K86" s="14">
        <v>12.016666666666669</v>
      </c>
      <c r="L86" s="14">
        <v>56.916666666666657</v>
      </c>
      <c r="M86" s="14">
        <v>49.017066666666658</v>
      </c>
      <c r="N86" s="14">
        <v>207.5</v>
      </c>
      <c r="O86" s="14">
        <v>0</v>
      </c>
      <c r="P86" s="14">
        <v>0.54761889554039</v>
      </c>
      <c r="Q86" s="14">
        <v>5.0473616639224998E-2</v>
      </c>
      <c r="R86" s="14">
        <v>0.94513627935308775</v>
      </c>
      <c r="S86" s="14">
        <v>50.235548888441691</v>
      </c>
      <c r="T86" s="14">
        <v>45.362202854839133</v>
      </c>
      <c r="U86" s="14">
        <v>228.0564978626206</v>
      </c>
      <c r="V86" s="18"/>
      <c r="W86" s="18"/>
      <c r="X86" s="18"/>
      <c r="Y86" s="18"/>
      <c r="Z86" s="18"/>
      <c r="AA86" s="14" t="str">
        <f>IF(AND(D86&lt;&gt;"EV",D86&lt;&gt;"Diesel"),"Invalid vehicle",IF(COUNTIFS(Routes[Corridor],E86,Routes[Direction],F86)=0,"Unknown route",IF(C86="","Missing date",IF(SUM(O86:U86)&lt;=0,"No distance","OK"))))</f>
        <v>OK</v>
      </c>
      <c r="AB86" s="17">
        <f t="shared" si="114"/>
        <v>46266</v>
      </c>
      <c r="AC86" s="14">
        <f>--(COUNTIFS($C$5:C86,C86,$D$5:D86,D86,$G$5:G86,G86,$F$5:F86,F86)=1)</f>
        <v>0</v>
      </c>
      <c r="AD86" s="14">
        <f t="shared" si="93"/>
        <v>0</v>
      </c>
      <c r="AE86" s="14">
        <f t="shared" si="94"/>
        <v>1</v>
      </c>
      <c r="AF86" s="14">
        <f t="shared" si="115"/>
        <v>0</v>
      </c>
      <c r="AG86" s="14">
        <f>SUMIFS(Routes[Net elevation (m)],Routes[Corridor],E86,Routes[Direction],F86)</f>
        <v>880</v>
      </c>
      <c r="AH86" s="14">
        <f t="shared" si="95"/>
        <v>14500</v>
      </c>
      <c r="AI86" s="14">
        <f t="shared" si="96"/>
        <v>0.25</v>
      </c>
      <c r="AJ86" s="14">
        <f t="shared" si="97"/>
        <v>8.1</v>
      </c>
      <c r="AK86" s="14">
        <f t="shared" si="116"/>
        <v>325.19747839743411</v>
      </c>
      <c r="AL86" s="14">
        <f t="shared" si="117"/>
        <v>6.2091733333333332</v>
      </c>
      <c r="AM86" s="14">
        <f t="shared" si="118"/>
        <v>6.2091733333333332</v>
      </c>
      <c r="AN86" s="14">
        <f t="shared" si="119"/>
        <v>0.78500000000000003</v>
      </c>
      <c r="AO86" s="14">
        <f t="shared" si="120"/>
        <v>5.4241733333333322</v>
      </c>
      <c r="AP86" s="14">
        <f t="shared" si="121"/>
        <v>59.843107131271843</v>
      </c>
      <c r="AQ86" s="14">
        <f t="shared" si="122"/>
        <v>4.719127053635388</v>
      </c>
      <c r="AR86" s="14">
        <f t="shared" si="123"/>
        <v>52.956947583715994</v>
      </c>
      <c r="AS86" s="14">
        <f t="shared" si="124"/>
        <v>55.526214773296957</v>
      </c>
      <c r="AT86" s="14">
        <f t="shared" si="125"/>
        <v>65.944047574733659</v>
      </c>
      <c r="AU86" s="14">
        <f t="shared" si="98"/>
        <v>153.74054910689028</v>
      </c>
      <c r="AV86" s="14">
        <f t="shared" si="99"/>
        <v>21.973368331908979</v>
      </c>
      <c r="AW86" s="14">
        <f t="shared" si="126"/>
        <v>50.584406866833646</v>
      </c>
      <c r="AX86" s="14">
        <f t="shared" si="100"/>
        <v>34.771000000000001</v>
      </c>
      <c r="AY86" s="14">
        <f t="shared" si="127"/>
        <v>153.74054910689028</v>
      </c>
      <c r="AZ86" s="14">
        <f t="shared" si="101"/>
        <v>34.771000000000001</v>
      </c>
      <c r="BA86" s="14">
        <f t="shared" si="102"/>
        <v>28.611038534924667</v>
      </c>
      <c r="BB86" s="14">
        <f t="shared" si="128"/>
        <v>239.09595597372396</v>
      </c>
      <c r="BC86" s="14">
        <f t="shared" si="103"/>
        <v>742.53402476311783</v>
      </c>
      <c r="BD86" s="14">
        <f t="shared" si="104"/>
        <v>125.53086857142856</v>
      </c>
      <c r="BE86" s="14">
        <f t="shared" si="105"/>
        <v>19.570486111111112</v>
      </c>
      <c r="BF86" s="14">
        <f t="shared" si="106"/>
        <v>0</v>
      </c>
      <c r="BG86" s="14">
        <f t="shared" si="129"/>
        <v>887.63537944565746</v>
      </c>
      <c r="BH86" s="14" t="str">
        <f t="shared" si="107"/>
        <v/>
      </c>
      <c r="BI86" s="14">
        <f t="shared" si="108"/>
        <v>1</v>
      </c>
      <c r="BJ86" s="14">
        <f t="shared" si="130"/>
        <v>887.63537944565746</v>
      </c>
      <c r="BK86" s="14">
        <f t="shared" si="109"/>
        <v>3195.4873660043668</v>
      </c>
      <c r="BL86" s="14">
        <f t="shared" si="110"/>
        <v>89.010790139397415</v>
      </c>
      <c r="BM86" s="14" t="str">
        <f t="shared" si="111"/>
        <v/>
      </c>
      <c r="BN86" s="14">
        <f t="shared" si="131"/>
        <v>2.7295272516253961</v>
      </c>
      <c r="BO86" s="14">
        <f t="shared" si="132"/>
        <v>0.36636380875278446</v>
      </c>
      <c r="BP86" s="14">
        <f t="shared" si="133"/>
        <v>3.6534613150624891</v>
      </c>
      <c r="BQ86" s="22">
        <f t="shared" si="134"/>
        <v>0.26936280539318208</v>
      </c>
      <c r="BR86" s="14">
        <f t="shared" si="112"/>
        <v>8188.9926928245623</v>
      </c>
      <c r="BS86" s="14">
        <f t="shared" si="113"/>
        <v>238.54891757358507</v>
      </c>
      <c r="BT86" s="14">
        <f t="shared" si="135"/>
        <v>25.181599602739034</v>
      </c>
      <c r="BU86" s="14">
        <f t="shared" si="136"/>
        <v>0.73355094494935447</v>
      </c>
      <c r="BV86" s="22" t="str">
        <f t="shared" si="137"/>
        <v/>
      </c>
      <c r="BW86" s="14" t="e">
        <f t="shared" si="138"/>
        <v>#N/A</v>
      </c>
      <c r="BX86" s="14" t="e">
        <f t="shared" si="139"/>
        <v>#N/A</v>
      </c>
    </row>
    <row r="87" spans="1:76" x14ac:dyDescent="0.25">
      <c r="A87" s="12" t="s">
        <v>540</v>
      </c>
      <c r="B87" s="12" t="s">
        <v>242</v>
      </c>
      <c r="C87" s="15">
        <v>46277</v>
      </c>
      <c r="D87" s="12" t="s">
        <v>300</v>
      </c>
      <c r="E87" s="12" t="s">
        <v>531</v>
      </c>
      <c r="F87" s="12" t="s">
        <v>541</v>
      </c>
      <c r="G87" s="16">
        <v>0.97288194444444442</v>
      </c>
      <c r="H87" s="14">
        <v>63.2</v>
      </c>
      <c r="I87" s="14">
        <v>14.516666666666669</v>
      </c>
      <c r="J87" s="14">
        <v>29.516666666666669</v>
      </c>
      <c r="K87" s="14">
        <v>6.8833333333333337</v>
      </c>
      <c r="L87" s="14">
        <v>69.25</v>
      </c>
      <c r="M87" s="14">
        <v>57.887300000000003</v>
      </c>
      <c r="N87" s="14">
        <v>164.51666666666671</v>
      </c>
      <c r="O87" s="14">
        <v>0.1119717603069536</v>
      </c>
      <c r="P87" s="14">
        <v>8.2158448585864255E-2</v>
      </c>
      <c r="Q87" s="14">
        <v>1.643615657683831E-2</v>
      </c>
      <c r="R87" s="14">
        <v>0.5125712172728395</v>
      </c>
      <c r="S87" s="14">
        <v>67.117549684267743</v>
      </c>
      <c r="T87" s="14">
        <v>56.356321664556063</v>
      </c>
      <c r="U87" s="14">
        <v>197.66418683099539</v>
      </c>
      <c r="V87" s="18"/>
      <c r="W87" s="18"/>
      <c r="X87" s="18"/>
      <c r="Y87" s="18"/>
      <c r="Z87" s="18"/>
      <c r="AA87" s="14" t="str">
        <f>IF(AND(D87&lt;&gt;"EV",D87&lt;&gt;"Diesel"),"Invalid vehicle",IF(COUNTIFS(Routes[Corridor],E87,Routes[Direction],F87)=0,"Unknown route",IF(C87="","Missing date",IF(SUM(O87:U87)&lt;=0,"No distance","OK"))))</f>
        <v>OK</v>
      </c>
      <c r="AB87" s="17">
        <f t="shared" si="114"/>
        <v>46266</v>
      </c>
      <c r="AC87" s="14">
        <f>--(COUNTIFS($C$5:C87,C87,$D$5:D87,D87,$G$5:G87,G87,$F$5:F87,F87)=1)</f>
        <v>1</v>
      </c>
      <c r="AD87" s="14">
        <f t="shared" si="93"/>
        <v>0</v>
      </c>
      <c r="AE87" s="14">
        <f t="shared" si="94"/>
        <v>1</v>
      </c>
      <c r="AF87" s="14">
        <f t="shared" si="115"/>
        <v>0</v>
      </c>
      <c r="AG87" s="14">
        <f>SUMIFS(Routes[Net elevation (m)],Routes[Corridor],E87,Routes[Direction],F87)</f>
        <v>-880</v>
      </c>
      <c r="AH87" s="14">
        <f t="shared" si="95"/>
        <v>16500</v>
      </c>
      <c r="AI87" s="14">
        <f t="shared" si="96"/>
        <v>0.25</v>
      </c>
      <c r="AJ87" s="14">
        <f t="shared" si="97"/>
        <v>8.1</v>
      </c>
      <c r="AK87" s="14">
        <f t="shared" si="116"/>
        <v>321.86119576256169</v>
      </c>
      <c r="AL87" s="14">
        <f t="shared" si="117"/>
        <v>6.7628438888888907</v>
      </c>
      <c r="AM87" s="14">
        <f t="shared" si="118"/>
        <v>5.7095105555555561</v>
      </c>
      <c r="AN87" s="14">
        <f t="shared" si="119"/>
        <v>0.73388888888888892</v>
      </c>
      <c r="AO87" s="14">
        <f t="shared" si="120"/>
        <v>4.9756216666666679</v>
      </c>
      <c r="AP87" s="14">
        <f t="shared" si="121"/>
        <v>64.645314886366009</v>
      </c>
      <c r="AQ87" s="14">
        <f t="shared" si="122"/>
        <v>4.4679331287705137</v>
      </c>
      <c r="AR87" s="14">
        <f t="shared" si="123"/>
        <v>58.152389618138123</v>
      </c>
      <c r="AS87" s="14">
        <f t="shared" si="124"/>
        <v>58.413145886461514</v>
      </c>
      <c r="AT87" s="14">
        <f t="shared" si="125"/>
        <v>72.089056082624182</v>
      </c>
      <c r="AU87" s="14">
        <f t="shared" si="98"/>
        <v>168.10034491576107</v>
      </c>
      <c r="AV87" s="14">
        <f t="shared" si="99"/>
        <v>30.69835943224215</v>
      </c>
      <c r="AW87" s="14">
        <f t="shared" si="126"/>
        <v>76.905525679890118</v>
      </c>
      <c r="AX87" s="14">
        <f t="shared" si="100"/>
        <v>-39.567</v>
      </c>
      <c r="AY87" s="14">
        <f t="shared" si="127"/>
        <v>168.10034491576107</v>
      </c>
      <c r="AZ87" s="14">
        <f t="shared" si="101"/>
        <v>-19.7835</v>
      </c>
      <c r="BA87" s="14">
        <f t="shared" si="102"/>
        <v>65.990666247647965</v>
      </c>
      <c r="BB87" s="14">
        <f t="shared" si="128"/>
        <v>225.22237059565117</v>
      </c>
      <c r="BC87" s="14">
        <f t="shared" si="103"/>
        <v>271.56492505655177</v>
      </c>
      <c r="BD87" s="14">
        <f t="shared" si="104"/>
        <v>46.247035500000003</v>
      </c>
      <c r="BE87" s="14">
        <f t="shared" si="105"/>
        <v>0</v>
      </c>
      <c r="BF87" s="14">
        <f t="shared" si="106"/>
        <v>32.837615431492097</v>
      </c>
      <c r="BG87" s="14">
        <f t="shared" si="129"/>
        <v>284.97434512505964</v>
      </c>
      <c r="BH87" s="14" t="str">
        <f t="shared" si="107"/>
        <v/>
      </c>
      <c r="BI87" s="14">
        <f t="shared" si="108"/>
        <v>1</v>
      </c>
      <c r="BJ87" s="14">
        <f t="shared" si="130"/>
        <v>284.97434512505964</v>
      </c>
      <c r="BK87" s="14">
        <f t="shared" si="109"/>
        <v>1025.9076424502148</v>
      </c>
      <c r="BL87" s="14" t="str">
        <f t="shared" si="110"/>
        <v/>
      </c>
      <c r="BM87" s="14">
        <f t="shared" si="111"/>
        <v>309.75472296202133</v>
      </c>
      <c r="BN87" s="14">
        <f t="shared" si="131"/>
        <v>0.88539516063715362</v>
      </c>
      <c r="BO87" s="14">
        <f t="shared" si="132"/>
        <v>1.1294391978383684</v>
      </c>
      <c r="BP87" s="14" t="str">
        <f t="shared" si="133"/>
        <v/>
      </c>
      <c r="BQ87" s="22">
        <f t="shared" si="134"/>
        <v>0.79032507468984059</v>
      </c>
      <c r="BR87" s="14">
        <f t="shared" si="112"/>
        <v>2942.6698681392027</v>
      </c>
      <c r="BS87" s="14">
        <f t="shared" si="113"/>
        <v>219.92585330303513</v>
      </c>
      <c r="BT87" s="14">
        <f t="shared" si="135"/>
        <v>9.1426674196227804</v>
      </c>
      <c r="BU87" s="14">
        <f t="shared" si="136"/>
        <v>0.6832940913612815</v>
      </c>
      <c r="BV87" s="22" t="str">
        <f t="shared" si="137"/>
        <v/>
      </c>
      <c r="BW87" s="14" t="e">
        <f t="shared" si="138"/>
        <v>#N/A</v>
      </c>
      <c r="BX87" s="14" t="e">
        <f t="shared" si="139"/>
        <v>#N/A</v>
      </c>
    </row>
    <row r="88" spans="1:76" x14ac:dyDescent="0.25">
      <c r="A88" s="12" t="s">
        <v>542</v>
      </c>
      <c r="B88" s="12" t="s">
        <v>242</v>
      </c>
      <c r="C88" s="15">
        <v>46277</v>
      </c>
      <c r="D88" s="12" t="s">
        <v>457</v>
      </c>
      <c r="E88" s="12" t="s">
        <v>531</v>
      </c>
      <c r="F88" s="12" t="s">
        <v>541</v>
      </c>
      <c r="G88" s="16">
        <v>0.96741898148148153</v>
      </c>
      <c r="H88" s="14">
        <v>0</v>
      </c>
      <c r="I88" s="14">
        <v>20.583333333333329</v>
      </c>
      <c r="J88" s="14">
        <v>2.833333333333333</v>
      </c>
      <c r="K88" s="14">
        <v>4</v>
      </c>
      <c r="L88" s="14">
        <v>45.56666666666667</v>
      </c>
      <c r="M88" s="14">
        <v>33.783333333333331</v>
      </c>
      <c r="N88" s="14">
        <v>218.63815</v>
      </c>
      <c r="O88" s="14">
        <v>0</v>
      </c>
      <c r="P88" s="14">
        <v>0.47667835410688608</v>
      </c>
      <c r="Q88" s="14">
        <v>1.27297174998127E-2</v>
      </c>
      <c r="R88" s="14">
        <v>0.4202840859765154</v>
      </c>
      <c r="S88" s="14">
        <v>40.651361378664021</v>
      </c>
      <c r="T88" s="14">
        <v>31.659462752029832</v>
      </c>
      <c r="U88" s="14">
        <v>249.21290311643861</v>
      </c>
      <c r="V88" s="18"/>
      <c r="W88" s="18"/>
      <c r="X88" s="18"/>
      <c r="Y88" s="18"/>
      <c r="Z88" s="18"/>
      <c r="AA88" s="14" t="str">
        <f>IF(AND(D88&lt;&gt;"EV",D88&lt;&gt;"Diesel"),"Invalid vehicle",IF(COUNTIFS(Routes[Corridor],E88,Routes[Direction],F88)=0,"Unknown route",IF(C88="","Missing date",IF(SUM(O88:U88)&lt;=0,"No distance","OK"))))</f>
        <v>OK</v>
      </c>
      <c r="AB88" s="17">
        <f t="shared" si="114"/>
        <v>46266</v>
      </c>
      <c r="AC88" s="14">
        <f>--(COUNTIFS($C$5:C88,C88,$D$5:D88,D88,$G$5:G88,G88,$F$5:F88,F88)=1)</f>
        <v>1</v>
      </c>
      <c r="AD88" s="14">
        <f t="shared" si="93"/>
        <v>0</v>
      </c>
      <c r="AE88" s="14">
        <f t="shared" si="94"/>
        <v>1</v>
      </c>
      <c r="AF88" s="14">
        <f t="shared" si="115"/>
        <v>0</v>
      </c>
      <c r="AG88" s="14">
        <f>SUMIFS(Routes[Net elevation (m)],Routes[Corridor],E88,Routes[Direction],F88)</f>
        <v>-880</v>
      </c>
      <c r="AH88" s="14">
        <f t="shared" si="95"/>
        <v>14500</v>
      </c>
      <c r="AI88" s="14">
        <f t="shared" si="96"/>
        <v>0.25</v>
      </c>
      <c r="AJ88" s="14">
        <f t="shared" si="97"/>
        <v>8.1</v>
      </c>
      <c r="AK88" s="14">
        <f t="shared" si="116"/>
        <v>322.43341940471566</v>
      </c>
      <c r="AL88" s="14">
        <f t="shared" si="117"/>
        <v>5.4234136111111111</v>
      </c>
      <c r="AM88" s="14">
        <f t="shared" si="118"/>
        <v>5.4234136111111111</v>
      </c>
      <c r="AN88" s="14">
        <f t="shared" si="119"/>
        <v>0.39027777777777767</v>
      </c>
      <c r="AO88" s="14">
        <f t="shared" si="120"/>
        <v>5.0331358333333336</v>
      </c>
      <c r="AP88" s="14">
        <f t="shared" si="121"/>
        <v>63.964896238433653</v>
      </c>
      <c r="AQ88" s="14">
        <f t="shared" si="122"/>
        <v>6.304261289647731</v>
      </c>
      <c r="AR88" s="14">
        <f t="shared" si="123"/>
        <v>53.527761873880934</v>
      </c>
      <c r="AS88" s="14">
        <f t="shared" si="124"/>
        <v>56.227955553679031</v>
      </c>
      <c r="AT88" s="14">
        <f t="shared" si="125"/>
        <v>68.390508184350793</v>
      </c>
      <c r="AU88" s="14">
        <f t="shared" si="98"/>
        <v>166.84207258613165</v>
      </c>
      <c r="AV88" s="14">
        <f t="shared" si="99"/>
        <v>15.503132162345608</v>
      </c>
      <c r="AW88" s="14">
        <f t="shared" si="126"/>
        <v>40.93366249934919</v>
      </c>
      <c r="AX88" s="14">
        <f t="shared" si="100"/>
        <v>-34.771000000000001</v>
      </c>
      <c r="AY88" s="14">
        <f t="shared" si="127"/>
        <v>166.84207258613165</v>
      </c>
      <c r="AZ88" s="14">
        <f t="shared" si="101"/>
        <v>-17.3855</v>
      </c>
      <c r="BA88" s="14">
        <f t="shared" si="102"/>
        <v>42.816030337003582</v>
      </c>
      <c r="BB88" s="14">
        <f t="shared" si="128"/>
        <v>190.39023508548084</v>
      </c>
      <c r="BC88" s="14">
        <f t="shared" si="103"/>
        <v>591.27402200459892</v>
      </c>
      <c r="BD88" s="14">
        <f t="shared" si="104"/>
        <v>116.48114357142858</v>
      </c>
      <c r="BE88" s="14">
        <f t="shared" si="105"/>
        <v>9.7298418209876516</v>
      </c>
      <c r="BF88" s="14">
        <f t="shared" si="106"/>
        <v>0</v>
      </c>
      <c r="BG88" s="14">
        <f t="shared" si="129"/>
        <v>717.48500739701512</v>
      </c>
      <c r="BH88" s="14" t="str">
        <f t="shared" si="107"/>
        <v/>
      </c>
      <c r="BI88" s="14">
        <f t="shared" si="108"/>
        <v>1</v>
      </c>
      <c r="BJ88" s="14">
        <f t="shared" si="130"/>
        <v>717.48500739701512</v>
      </c>
      <c r="BK88" s="14">
        <f t="shared" si="109"/>
        <v>2582.9460266292544</v>
      </c>
      <c r="BL88" s="14">
        <f t="shared" si="110"/>
        <v>71.94835728772297</v>
      </c>
      <c r="BM88" s="14" t="str">
        <f t="shared" si="111"/>
        <v/>
      </c>
      <c r="BN88" s="14">
        <f t="shared" si="131"/>
        <v>2.2252191125896728</v>
      </c>
      <c r="BO88" s="14">
        <f t="shared" si="132"/>
        <v>0.4493939470240379</v>
      </c>
      <c r="BP88" s="14">
        <f t="shared" si="133"/>
        <v>4.4814563050452669</v>
      </c>
      <c r="BQ88" s="22">
        <f t="shared" si="134"/>
        <v>0.26535778883548122</v>
      </c>
      <c r="BR88" s="14">
        <f t="shared" si="112"/>
        <v>6619.2488704705129</v>
      </c>
      <c r="BS88" s="14">
        <f t="shared" si="113"/>
        <v>192.82159753109758</v>
      </c>
      <c r="BT88" s="14">
        <f t="shared" si="135"/>
        <v>20.529040949573805</v>
      </c>
      <c r="BU88" s="14">
        <f t="shared" si="136"/>
        <v>0.59801988853106314</v>
      </c>
      <c r="BV88" s="22" t="str">
        <f t="shared" si="137"/>
        <v/>
      </c>
      <c r="BW88" s="14" t="e">
        <f t="shared" si="138"/>
        <v>#N/A</v>
      </c>
      <c r="BX88" s="14" t="e">
        <f t="shared" si="139"/>
        <v>#N/A</v>
      </c>
    </row>
    <row r="89" spans="1:76" x14ac:dyDescent="0.25">
      <c r="A89" s="12" t="s">
        <v>543</v>
      </c>
      <c r="B89" s="12" t="s">
        <v>248</v>
      </c>
      <c r="C89" s="15">
        <v>46277</v>
      </c>
      <c r="D89" s="12" t="s">
        <v>300</v>
      </c>
      <c r="E89" s="12" t="s">
        <v>531</v>
      </c>
      <c r="F89" s="12" t="s">
        <v>541</v>
      </c>
      <c r="G89" s="16">
        <v>0.94480324074074074</v>
      </c>
      <c r="H89" s="14">
        <v>63.2</v>
      </c>
      <c r="I89" s="14">
        <v>51.31666666666667</v>
      </c>
      <c r="J89" s="14">
        <v>32.283333333333331</v>
      </c>
      <c r="K89" s="14">
        <v>7.7166666666666668</v>
      </c>
      <c r="L89" s="14">
        <v>69.400000000000006</v>
      </c>
      <c r="M89" s="14">
        <v>57.93333333333333</v>
      </c>
      <c r="N89" s="14">
        <v>164.6</v>
      </c>
      <c r="O89" s="14">
        <v>0.1119717603069536</v>
      </c>
      <c r="P89" s="14">
        <v>0.2137910036648912</v>
      </c>
      <c r="Q89" s="14">
        <v>2.66289259127734E-2</v>
      </c>
      <c r="R89" s="14">
        <v>0.53192012036127867</v>
      </c>
      <c r="S89" s="14">
        <v>67.235218047696108</v>
      </c>
      <c r="T89" s="14">
        <v>56.319756834393488</v>
      </c>
      <c r="U89" s="14">
        <v>197.7381876113653</v>
      </c>
      <c r="V89" s="18"/>
      <c r="W89" s="18"/>
      <c r="X89" s="18"/>
      <c r="Y89" s="18"/>
      <c r="Z89" s="18"/>
      <c r="AA89" s="14" t="str">
        <f>IF(AND(D89&lt;&gt;"EV",D89&lt;&gt;"Diesel"),"Invalid vehicle",IF(COUNTIFS(Routes[Corridor],E89,Routes[Direction],F89)=0,"Unknown route",IF(C89="","Missing date",IF(SUM(O89:U89)&lt;=0,"No distance","OK"))))</f>
        <v>OK</v>
      </c>
      <c r="AB89" s="17">
        <f t="shared" si="114"/>
        <v>46266</v>
      </c>
      <c r="AC89" s="14">
        <f>--(COUNTIFS($C$5:C89,C89,$D$5:D89,D89,$G$5:G89,G89,$F$5:F89,F89)=1)</f>
        <v>1</v>
      </c>
      <c r="AD89" s="14">
        <f t="shared" si="93"/>
        <v>0</v>
      </c>
      <c r="AE89" s="14">
        <f t="shared" si="94"/>
        <v>1</v>
      </c>
      <c r="AF89" s="14">
        <f t="shared" si="115"/>
        <v>0</v>
      </c>
      <c r="AG89" s="14">
        <f>SUMIFS(Routes[Net elevation (m)],Routes[Corridor],E89,Routes[Direction],F89)</f>
        <v>-880</v>
      </c>
      <c r="AH89" s="14">
        <f t="shared" si="95"/>
        <v>16500</v>
      </c>
      <c r="AI89" s="14">
        <f t="shared" si="96"/>
        <v>0.25</v>
      </c>
      <c r="AJ89" s="14">
        <f t="shared" si="97"/>
        <v>8.1</v>
      </c>
      <c r="AK89" s="14">
        <f t="shared" si="116"/>
        <v>322.17747430370082</v>
      </c>
      <c r="AL89" s="14">
        <f t="shared" si="117"/>
        <v>7.4408333333333339</v>
      </c>
      <c r="AM89" s="14">
        <f t="shared" si="118"/>
        <v>6.3875000000000002</v>
      </c>
      <c r="AN89" s="14">
        <f t="shared" si="119"/>
        <v>1.3933333333333333</v>
      </c>
      <c r="AO89" s="14">
        <f t="shared" si="120"/>
        <v>4.9941666666666666</v>
      </c>
      <c r="AP89" s="14">
        <f t="shared" si="121"/>
        <v>64.440196752307585</v>
      </c>
      <c r="AQ89" s="14">
        <f t="shared" si="122"/>
        <v>4.13587998553046</v>
      </c>
      <c r="AR89" s="14">
        <f t="shared" si="123"/>
        <v>58.128430588786259</v>
      </c>
      <c r="AS89" s="14">
        <f t="shared" si="124"/>
        <v>58.328862083951833</v>
      </c>
      <c r="AT89" s="14">
        <f t="shared" si="125"/>
        <v>72.079533758699384</v>
      </c>
      <c r="AU89" s="14">
        <f t="shared" si="98"/>
        <v>168.23314049119062</v>
      </c>
      <c r="AV89" s="14">
        <f t="shared" si="99"/>
        <v>30.641090742302836</v>
      </c>
      <c r="AW89" s="14">
        <f t="shared" si="126"/>
        <v>77.040354012985119</v>
      </c>
      <c r="AX89" s="14">
        <f t="shared" si="100"/>
        <v>-39.567</v>
      </c>
      <c r="AY89" s="14">
        <f t="shared" si="127"/>
        <v>168.23314049119062</v>
      </c>
      <c r="AZ89" s="14">
        <f t="shared" si="101"/>
        <v>-19.7835</v>
      </c>
      <c r="BA89" s="14">
        <f t="shared" si="102"/>
        <v>66.182763270682287</v>
      </c>
      <c r="BB89" s="14">
        <f t="shared" si="128"/>
        <v>225.48999450417574</v>
      </c>
      <c r="BC89" s="14">
        <f t="shared" si="103"/>
        <v>271.88761621049707</v>
      </c>
      <c r="BD89" s="14">
        <f t="shared" si="104"/>
        <v>51.738749999999996</v>
      </c>
      <c r="BE89" s="14">
        <f t="shared" si="105"/>
        <v>0</v>
      </c>
      <c r="BF89" s="14">
        <f t="shared" si="106"/>
        <v>32.933204831124208</v>
      </c>
      <c r="BG89" s="14">
        <f t="shared" si="129"/>
        <v>290.69316137937284</v>
      </c>
      <c r="BH89" s="14" t="str">
        <f t="shared" si="107"/>
        <v/>
      </c>
      <c r="BI89" s="14">
        <f t="shared" si="108"/>
        <v>1</v>
      </c>
      <c r="BJ89" s="14">
        <f t="shared" si="130"/>
        <v>290.69316137937284</v>
      </c>
      <c r="BK89" s="14">
        <f t="shared" si="109"/>
        <v>1046.4953809657422</v>
      </c>
      <c r="BL89" s="14" t="str">
        <f t="shared" si="110"/>
        <v/>
      </c>
      <c r="BM89" s="14">
        <f t="shared" si="111"/>
        <v>315.97082758627482</v>
      </c>
      <c r="BN89" s="14">
        <f t="shared" si="131"/>
        <v>0.90227649219619477</v>
      </c>
      <c r="BO89" s="14">
        <f t="shared" si="132"/>
        <v>1.1083077179212997</v>
      </c>
      <c r="BP89" s="14" t="str">
        <f t="shared" si="133"/>
        <v/>
      </c>
      <c r="BQ89" s="22">
        <f t="shared" si="134"/>
        <v>0.77569762368746309</v>
      </c>
      <c r="BR89" s="14">
        <f t="shared" si="112"/>
        <v>3001.722862069611</v>
      </c>
      <c r="BS89" s="14">
        <f t="shared" si="113"/>
        <v>224.33928758625513</v>
      </c>
      <c r="BT89" s="14">
        <f t="shared" si="135"/>
        <v>9.3169855172433156</v>
      </c>
      <c r="BU89" s="14">
        <f t="shared" si="136"/>
        <v>0.69632207549923719</v>
      </c>
      <c r="BV89" s="22" t="str">
        <f t="shared" si="137"/>
        <v/>
      </c>
      <c r="BW89" s="14" t="e">
        <f t="shared" si="138"/>
        <v>#N/A</v>
      </c>
      <c r="BX89" s="14" t="e">
        <f t="shared" si="139"/>
        <v>#N/A</v>
      </c>
    </row>
    <row r="90" spans="1:76" x14ac:dyDescent="0.25">
      <c r="A90" s="12" t="s">
        <v>544</v>
      </c>
      <c r="B90" s="12" t="s">
        <v>248</v>
      </c>
      <c r="C90" s="15">
        <v>46285</v>
      </c>
      <c r="D90" s="12" t="s">
        <v>457</v>
      </c>
      <c r="E90" s="12" t="s">
        <v>531</v>
      </c>
      <c r="F90" s="12" t="s">
        <v>541</v>
      </c>
      <c r="G90" s="16">
        <v>0.50900462962962967</v>
      </c>
      <c r="H90" s="14">
        <v>0</v>
      </c>
      <c r="I90" s="14">
        <v>35.4</v>
      </c>
      <c r="J90" s="14">
        <v>6.3166666666666664</v>
      </c>
      <c r="K90" s="14">
        <v>10.016666666666669</v>
      </c>
      <c r="L90" s="14">
        <v>63.383333333333333</v>
      </c>
      <c r="M90" s="14">
        <v>44.56666666666667</v>
      </c>
      <c r="N90" s="14">
        <v>181.75905</v>
      </c>
      <c r="O90" s="14">
        <v>0</v>
      </c>
      <c r="P90" s="14">
        <v>0.45036794227206151</v>
      </c>
      <c r="Q90" s="14">
        <v>6.3170939991916364E-2</v>
      </c>
      <c r="R90" s="14">
        <v>0.89965978323865836</v>
      </c>
      <c r="S90" s="14">
        <v>58.376029715565082</v>
      </c>
      <c r="T90" s="14">
        <v>42.972091125409762</v>
      </c>
      <c r="U90" s="14">
        <v>218.8656286111331</v>
      </c>
      <c r="V90" s="18"/>
      <c r="W90" s="18"/>
      <c r="X90" s="18"/>
      <c r="Y90" s="18"/>
      <c r="Z90" s="18"/>
      <c r="AA90" s="14" t="str">
        <f>IF(AND(D90&lt;&gt;"EV",D90&lt;&gt;"Diesel"),"Invalid vehicle",IF(COUNTIFS(Routes[Corridor],E90,Routes[Direction],F90)=0,"Unknown route",IF(C90="","Missing date",IF(SUM(O90:U90)&lt;=0,"No distance","OK"))))</f>
        <v>OK</v>
      </c>
      <c r="AB90" s="17">
        <f t="shared" si="114"/>
        <v>46266</v>
      </c>
      <c r="AC90" s="14">
        <f>--(COUNTIFS($C$5:C90,C90,$D$5:D90,D90,$G$5:G90,G90,$F$5:F90,F90)=1)</f>
        <v>1</v>
      </c>
      <c r="AD90" s="14">
        <f t="shared" si="93"/>
        <v>0</v>
      </c>
      <c r="AE90" s="14">
        <f t="shared" si="94"/>
        <v>1</v>
      </c>
      <c r="AF90" s="14">
        <f t="shared" si="115"/>
        <v>0</v>
      </c>
      <c r="AG90" s="14">
        <f>SUMIFS(Routes[Net elevation (m)],Routes[Corridor],E90,Routes[Direction],F90)</f>
        <v>-880</v>
      </c>
      <c r="AH90" s="14">
        <f t="shared" si="95"/>
        <v>14500</v>
      </c>
      <c r="AI90" s="14">
        <f t="shared" si="96"/>
        <v>0.25</v>
      </c>
      <c r="AJ90" s="14">
        <f t="shared" si="97"/>
        <v>8.1</v>
      </c>
      <c r="AK90" s="14">
        <f t="shared" si="116"/>
        <v>321.6269481176106</v>
      </c>
      <c r="AL90" s="14">
        <f t="shared" si="117"/>
        <v>5.6907063888888887</v>
      </c>
      <c r="AM90" s="14">
        <f t="shared" si="118"/>
        <v>5.6907063888888887</v>
      </c>
      <c r="AN90" s="14">
        <f t="shared" si="119"/>
        <v>0.69527777777777777</v>
      </c>
      <c r="AO90" s="14">
        <f t="shared" si="120"/>
        <v>4.9954286111111115</v>
      </c>
      <c r="AP90" s="14">
        <f t="shared" si="121"/>
        <v>64.281452951025699</v>
      </c>
      <c r="AQ90" s="14">
        <f t="shared" si="122"/>
        <v>5.3889770709803155</v>
      </c>
      <c r="AR90" s="14">
        <f t="shared" si="123"/>
        <v>55.25998079832614</v>
      </c>
      <c r="AS90" s="14">
        <f t="shared" si="124"/>
        <v>57.853226646026599</v>
      </c>
      <c r="AT90" s="14">
        <f t="shared" si="125"/>
        <v>72.249154673002451</v>
      </c>
      <c r="AU90" s="14">
        <f t="shared" si="98"/>
        <v>166.09359329685543</v>
      </c>
      <c r="AV90" s="14">
        <f t="shared" si="99"/>
        <v>21.579774565480573</v>
      </c>
      <c r="AW90" s="14">
        <f t="shared" si="126"/>
        <v>58.781418810812063</v>
      </c>
      <c r="AX90" s="14">
        <f t="shared" si="100"/>
        <v>-34.771000000000001</v>
      </c>
      <c r="AY90" s="14">
        <f t="shared" si="127"/>
        <v>166.09359329685543</v>
      </c>
      <c r="AZ90" s="14">
        <f t="shared" si="101"/>
        <v>-17.3855</v>
      </c>
      <c r="BA90" s="14">
        <f t="shared" si="102"/>
        <v>54.587144245331494</v>
      </c>
      <c r="BB90" s="14">
        <f t="shared" si="128"/>
        <v>207.48951210766748</v>
      </c>
      <c r="BC90" s="14">
        <f t="shared" si="103"/>
        <v>644.37736679399836</v>
      </c>
      <c r="BD90" s="14">
        <f t="shared" si="104"/>
        <v>115.60849071428572</v>
      </c>
      <c r="BE90" s="14">
        <f t="shared" si="105"/>
        <v>17.333661265432095</v>
      </c>
      <c r="BF90" s="14">
        <f t="shared" si="106"/>
        <v>0</v>
      </c>
      <c r="BG90" s="14">
        <f t="shared" si="129"/>
        <v>777.31951877371614</v>
      </c>
      <c r="BH90" s="14" t="str">
        <f t="shared" si="107"/>
        <v/>
      </c>
      <c r="BI90" s="14">
        <f t="shared" si="108"/>
        <v>1</v>
      </c>
      <c r="BJ90" s="14">
        <f t="shared" si="130"/>
        <v>777.31951877371614</v>
      </c>
      <c r="BK90" s="14">
        <f t="shared" si="109"/>
        <v>2798.3502675853783</v>
      </c>
      <c r="BL90" s="14">
        <f t="shared" si="110"/>
        <v>77.948475420205526</v>
      </c>
      <c r="BM90" s="14" t="str">
        <f t="shared" si="111"/>
        <v/>
      </c>
      <c r="BN90" s="14">
        <f t="shared" si="131"/>
        <v>2.4168357885529872</v>
      </c>
      <c r="BO90" s="14">
        <f t="shared" si="132"/>
        <v>0.41376414762490832</v>
      </c>
      <c r="BP90" s="14">
        <f t="shared" si="133"/>
        <v>4.1261480277039464</v>
      </c>
      <c r="BQ90" s="22">
        <f t="shared" si="134"/>
        <v>0.26692950208557586</v>
      </c>
      <c r="BR90" s="14">
        <f t="shared" si="112"/>
        <v>7171.2597386589086</v>
      </c>
      <c r="BS90" s="14">
        <f t="shared" si="113"/>
        <v>208.90191412615081</v>
      </c>
      <c r="BT90" s="14">
        <f t="shared" si="135"/>
        <v>22.296824879352354</v>
      </c>
      <c r="BU90" s="14">
        <f t="shared" si="136"/>
        <v>0.64951620300722068</v>
      </c>
      <c r="BV90" s="22" t="str">
        <f t="shared" si="137"/>
        <v/>
      </c>
      <c r="BW90" s="14" t="e">
        <f t="shared" si="138"/>
        <v>#N/A</v>
      </c>
      <c r="BX90" s="14" t="e">
        <f t="shared" si="139"/>
        <v>#N/A</v>
      </c>
    </row>
    <row r="91" spans="1:76" x14ac:dyDescent="0.25">
      <c r="A91" s="12" t="s">
        <v>545</v>
      </c>
      <c r="B91" s="12" t="s">
        <v>254</v>
      </c>
      <c r="C91" s="15">
        <v>46285</v>
      </c>
      <c r="D91" s="12" t="s">
        <v>300</v>
      </c>
      <c r="E91" s="12" t="s">
        <v>531</v>
      </c>
      <c r="F91" s="12" t="s">
        <v>541</v>
      </c>
      <c r="G91" s="16">
        <v>0.47643518518518518</v>
      </c>
      <c r="H91" s="14">
        <v>0</v>
      </c>
      <c r="I91" s="14">
        <v>65.983333333333334</v>
      </c>
      <c r="J91" s="14">
        <v>30.533333333333331</v>
      </c>
      <c r="K91" s="14">
        <v>6.3</v>
      </c>
      <c r="L91" s="14">
        <v>75.783333333333331</v>
      </c>
      <c r="M91" s="14">
        <v>59.6</v>
      </c>
      <c r="N91" s="14">
        <v>170.42676666666671</v>
      </c>
      <c r="O91" s="14">
        <v>0</v>
      </c>
      <c r="P91" s="14">
        <v>0.24021946013287521</v>
      </c>
      <c r="Q91" s="14">
        <v>0.21586370090681031</v>
      </c>
      <c r="R91" s="14">
        <v>0.59248667710547542</v>
      </c>
      <c r="S91" s="14">
        <v>70.970852140693879</v>
      </c>
      <c r="T91" s="14">
        <v>57.389927718761932</v>
      </c>
      <c r="U91" s="14">
        <v>195.02043862678869</v>
      </c>
      <c r="V91" s="18"/>
      <c r="W91" s="18"/>
      <c r="X91" s="18"/>
      <c r="Y91" s="18"/>
      <c r="Z91" s="18"/>
      <c r="AA91" s="14" t="str">
        <f>IF(AND(D91&lt;&gt;"EV",D91&lt;&gt;"Diesel"),"Invalid vehicle",IF(COUNTIFS(Routes[Corridor],E91,Routes[Direction],F91)=0,"Unknown route",IF(C91="","Missing date",IF(SUM(O91:U91)&lt;=0,"No distance","OK"))))</f>
        <v>OK</v>
      </c>
      <c r="AB91" s="17">
        <f t="shared" si="114"/>
        <v>46266</v>
      </c>
      <c r="AC91" s="14">
        <f>--(COUNTIFS($C$5:C91,C91,$D$5:D91,D91,$G$5:G91,G91,$F$5:F91,F91)=1)</f>
        <v>1</v>
      </c>
      <c r="AD91" s="14">
        <f t="shared" si="93"/>
        <v>0</v>
      </c>
      <c r="AE91" s="14">
        <f t="shared" si="94"/>
        <v>1</v>
      </c>
      <c r="AF91" s="14">
        <f t="shared" si="115"/>
        <v>0</v>
      </c>
      <c r="AG91" s="14">
        <f>SUMIFS(Routes[Net elevation (m)],Routes[Corridor],E91,Routes[Direction],F91)</f>
        <v>-880</v>
      </c>
      <c r="AH91" s="14">
        <f t="shared" si="95"/>
        <v>16500</v>
      </c>
      <c r="AI91" s="14">
        <f t="shared" si="96"/>
        <v>0.25</v>
      </c>
      <c r="AJ91" s="14">
        <f t="shared" si="97"/>
        <v>8.1</v>
      </c>
      <c r="AK91" s="14">
        <f t="shared" si="116"/>
        <v>324.42978832438962</v>
      </c>
      <c r="AL91" s="14">
        <f t="shared" si="117"/>
        <v>6.8104461111111112</v>
      </c>
      <c r="AM91" s="14">
        <f t="shared" si="118"/>
        <v>6.8104461111111112</v>
      </c>
      <c r="AN91" s="14">
        <f t="shared" si="119"/>
        <v>1.608611111111111</v>
      </c>
      <c r="AO91" s="14">
        <f t="shared" si="120"/>
        <v>5.2018350000000009</v>
      </c>
      <c r="AP91" s="14">
        <f t="shared" si="121"/>
        <v>62.280657722390252</v>
      </c>
      <c r="AQ91" s="14">
        <f t="shared" si="122"/>
        <v>5.6427302581473855</v>
      </c>
      <c r="AR91" s="14">
        <f t="shared" si="123"/>
        <v>56.189810359907185</v>
      </c>
      <c r="AS91" s="14">
        <f t="shared" si="124"/>
        <v>57.775095018887846</v>
      </c>
      <c r="AT91" s="14">
        <f t="shared" si="125"/>
        <v>68.658383577114066</v>
      </c>
      <c r="AU91" s="14">
        <f t="shared" si="98"/>
        <v>161.11579251536725</v>
      </c>
      <c r="AV91" s="14">
        <f t="shared" si="99"/>
        <v>30.974620130295161</v>
      </c>
      <c r="AW91" s="14">
        <f t="shared" si="126"/>
        <v>81.320768077878412</v>
      </c>
      <c r="AX91" s="14">
        <f t="shared" si="100"/>
        <v>-39.567</v>
      </c>
      <c r="AY91" s="14">
        <f t="shared" si="127"/>
        <v>161.11579251536725</v>
      </c>
      <c r="AZ91" s="14">
        <f t="shared" si="101"/>
        <v>-19.7835</v>
      </c>
      <c r="BA91" s="14">
        <f t="shared" si="102"/>
        <v>70.129647947583251</v>
      </c>
      <c r="BB91" s="14">
        <f t="shared" si="128"/>
        <v>222.65306059324564</v>
      </c>
      <c r="BC91" s="14">
        <f t="shared" si="103"/>
        <v>268.46694470759712</v>
      </c>
      <c r="BD91" s="14">
        <f t="shared" si="104"/>
        <v>55.164613500000002</v>
      </c>
      <c r="BE91" s="14">
        <f t="shared" si="105"/>
        <v>0</v>
      </c>
      <c r="BF91" s="14">
        <f t="shared" si="106"/>
        <v>34.897214115196896</v>
      </c>
      <c r="BG91" s="14">
        <f t="shared" si="129"/>
        <v>288.73434409240019</v>
      </c>
      <c r="BH91" s="14" t="str">
        <f t="shared" si="107"/>
        <v/>
      </c>
      <c r="BI91" s="14">
        <f t="shared" si="108"/>
        <v>1</v>
      </c>
      <c r="BJ91" s="14">
        <f t="shared" si="130"/>
        <v>288.73434409240019</v>
      </c>
      <c r="BK91" s="14">
        <f t="shared" si="109"/>
        <v>1039.4436387326407</v>
      </c>
      <c r="BL91" s="14" t="str">
        <f t="shared" si="110"/>
        <v/>
      </c>
      <c r="BM91" s="14">
        <f t="shared" si="111"/>
        <v>313.84167836130456</v>
      </c>
      <c r="BN91" s="14">
        <f t="shared" si="131"/>
        <v>0.88997482501114111</v>
      </c>
      <c r="BO91" s="14">
        <f t="shared" si="132"/>
        <v>1.1236272891061627</v>
      </c>
      <c r="BP91" s="14" t="str">
        <f t="shared" si="133"/>
        <v/>
      </c>
      <c r="BQ91" s="22">
        <f t="shared" si="134"/>
        <v>0.77113466114717777</v>
      </c>
      <c r="BR91" s="14">
        <f t="shared" si="112"/>
        <v>2981.4959444323931</v>
      </c>
      <c r="BS91" s="14">
        <f t="shared" si="113"/>
        <v>222.82759163652622</v>
      </c>
      <c r="BT91" s="14">
        <f t="shared" si="135"/>
        <v>9.1899574321802611</v>
      </c>
      <c r="BU91" s="14">
        <f t="shared" si="136"/>
        <v>0.68682839756294578</v>
      </c>
      <c r="BV91" s="22" t="str">
        <f t="shared" si="137"/>
        <v/>
      </c>
      <c r="BW91" s="14" t="e">
        <f t="shared" si="138"/>
        <v>#N/A</v>
      </c>
      <c r="BX91" s="14" t="e">
        <f t="shared" si="139"/>
        <v>#N/A</v>
      </c>
    </row>
    <row r="92" spans="1:76" x14ac:dyDescent="0.25">
      <c r="A92" s="12" t="s">
        <v>546</v>
      </c>
      <c r="B92" s="12" t="s">
        <v>254</v>
      </c>
      <c r="C92" s="15">
        <v>46277</v>
      </c>
      <c r="D92" s="12" t="s">
        <v>457</v>
      </c>
      <c r="E92" s="12" t="s">
        <v>531</v>
      </c>
      <c r="F92" s="12" t="s">
        <v>541</v>
      </c>
      <c r="G92" s="16">
        <v>0.97053240740740743</v>
      </c>
      <c r="H92" s="14">
        <v>0</v>
      </c>
      <c r="I92" s="14">
        <v>16.899999999999999</v>
      </c>
      <c r="J92" s="14">
        <v>2.833333333333333</v>
      </c>
      <c r="K92" s="14">
        <v>4</v>
      </c>
      <c r="L92" s="14">
        <v>46.733333333333327</v>
      </c>
      <c r="M92" s="14">
        <v>34.783333333333331</v>
      </c>
      <c r="N92" s="14">
        <v>220.0155</v>
      </c>
      <c r="O92" s="14">
        <v>0</v>
      </c>
      <c r="P92" s="14">
        <v>0.34786384859507741</v>
      </c>
      <c r="Q92" s="14">
        <v>1.27297174998127E-2</v>
      </c>
      <c r="R92" s="14">
        <v>0.4202840859765154</v>
      </c>
      <c r="S92" s="14">
        <v>41.502099869045793</v>
      </c>
      <c r="T92" s="14">
        <v>32.234391519954421</v>
      </c>
      <c r="U92" s="14">
        <v>250.51769768747249</v>
      </c>
      <c r="V92" s="18"/>
      <c r="W92" s="18"/>
      <c r="X92" s="18"/>
      <c r="Y92" s="18"/>
      <c r="Z92" s="18"/>
      <c r="AA92" s="14" t="str">
        <f>IF(AND(D92&lt;&gt;"EV",D92&lt;&gt;"Diesel"),"Invalid vehicle",IF(COUNTIFS(Routes[Corridor],E92,Routes[Direction],F92)=0,"Unknown route",IF(C92="","Missing date",IF(SUM(O92:U92)&lt;=0,"No distance","OK"))))</f>
        <v>OK</v>
      </c>
      <c r="AB92" s="17">
        <f t="shared" si="114"/>
        <v>46266</v>
      </c>
      <c r="AC92" s="14">
        <f>--(COUNTIFS($C$5:C92,C92,$D$5:D92,D92,$G$5:G92,G92,$F$5:F92,F92)=1)</f>
        <v>1</v>
      </c>
      <c r="AD92" s="14">
        <f t="shared" si="93"/>
        <v>0</v>
      </c>
      <c r="AE92" s="14">
        <f t="shared" si="94"/>
        <v>1</v>
      </c>
      <c r="AF92" s="14">
        <f t="shared" si="115"/>
        <v>0</v>
      </c>
      <c r="AG92" s="14">
        <f>SUMIFS(Routes[Net elevation (m)],Routes[Corridor],E92,Routes[Direction],F92)</f>
        <v>-880</v>
      </c>
      <c r="AH92" s="14">
        <f t="shared" si="95"/>
        <v>14500</v>
      </c>
      <c r="AI92" s="14">
        <f t="shared" si="96"/>
        <v>0.25</v>
      </c>
      <c r="AJ92" s="14">
        <f t="shared" si="97"/>
        <v>8.1</v>
      </c>
      <c r="AK92" s="14">
        <f t="shared" si="116"/>
        <v>325.03506672854411</v>
      </c>
      <c r="AL92" s="14">
        <f t="shared" si="117"/>
        <v>5.4210916666666664</v>
      </c>
      <c r="AM92" s="14">
        <f t="shared" si="118"/>
        <v>5.4210916666666664</v>
      </c>
      <c r="AN92" s="14">
        <f t="shared" si="119"/>
        <v>0.32888888888888884</v>
      </c>
      <c r="AO92" s="14">
        <f t="shared" si="120"/>
        <v>5.0922027777777767</v>
      </c>
      <c r="AP92" s="14">
        <f t="shared" si="121"/>
        <v>63.75914065702942</v>
      </c>
      <c r="AQ92" s="14">
        <f t="shared" si="122"/>
        <v>6.304261289647731</v>
      </c>
      <c r="AR92" s="14">
        <f t="shared" si="123"/>
        <v>53.283723084366933</v>
      </c>
      <c r="AS92" s="14">
        <f t="shared" si="124"/>
        <v>55.603166972609458</v>
      </c>
      <c r="AT92" s="14">
        <f t="shared" si="125"/>
        <v>68.318195132835413</v>
      </c>
      <c r="AU92" s="14">
        <f t="shared" si="98"/>
        <v>167.73843665066224</v>
      </c>
      <c r="AV92" s="14">
        <f t="shared" si="99"/>
        <v>15.632860267678847</v>
      </c>
      <c r="AW92" s="14">
        <f t="shared" si="126"/>
        <v>41.790308895914166</v>
      </c>
      <c r="AX92" s="14">
        <f t="shared" si="100"/>
        <v>-34.771000000000001</v>
      </c>
      <c r="AY92" s="14">
        <f t="shared" si="127"/>
        <v>167.73843665066224</v>
      </c>
      <c r="AZ92" s="14">
        <f t="shared" si="101"/>
        <v>-17.3855</v>
      </c>
      <c r="BA92" s="14">
        <f t="shared" si="102"/>
        <v>43.542948628235322</v>
      </c>
      <c r="BB92" s="14">
        <f t="shared" si="128"/>
        <v>192.1432455465764</v>
      </c>
      <c r="BC92" s="14">
        <f t="shared" si="103"/>
        <v>596.7181538713553</v>
      </c>
      <c r="BD92" s="14">
        <f t="shared" si="104"/>
        <v>117.84812142857142</v>
      </c>
      <c r="BE92" s="14">
        <f t="shared" si="105"/>
        <v>8.1993827160493797</v>
      </c>
      <c r="BF92" s="14">
        <f t="shared" si="106"/>
        <v>0</v>
      </c>
      <c r="BG92" s="14">
        <f t="shared" si="129"/>
        <v>722.7656580159761</v>
      </c>
      <c r="BH92" s="14" t="str">
        <f t="shared" si="107"/>
        <v/>
      </c>
      <c r="BI92" s="14">
        <f t="shared" si="108"/>
        <v>1</v>
      </c>
      <c r="BJ92" s="14">
        <f t="shared" si="130"/>
        <v>722.7656580159761</v>
      </c>
      <c r="BK92" s="14">
        <f t="shared" si="109"/>
        <v>2601.956368857514</v>
      </c>
      <c r="BL92" s="14">
        <f t="shared" si="110"/>
        <v>72.477893282939107</v>
      </c>
      <c r="BM92" s="14" t="str">
        <f t="shared" si="111"/>
        <v/>
      </c>
      <c r="BN92" s="14">
        <f t="shared" si="131"/>
        <v>2.2236544053248268</v>
      </c>
      <c r="BO92" s="14">
        <f t="shared" si="132"/>
        <v>0.44971016971224093</v>
      </c>
      <c r="BP92" s="14">
        <f t="shared" si="133"/>
        <v>4.4846097479637361</v>
      </c>
      <c r="BQ92" s="22">
        <f t="shared" si="134"/>
        <v>0.26584445928714734</v>
      </c>
      <c r="BR92" s="14">
        <f t="shared" si="112"/>
        <v>6667.9661820303982</v>
      </c>
      <c r="BS92" s="14">
        <f t="shared" si="113"/>
        <v>194.24075399827683</v>
      </c>
      <c r="BT92" s="14">
        <f t="shared" si="135"/>
        <v>20.514605544389489</v>
      </c>
      <c r="BU92" s="14">
        <f t="shared" si="136"/>
        <v>0.59759937890178083</v>
      </c>
      <c r="BV92" s="22" t="str">
        <f t="shared" si="137"/>
        <v/>
      </c>
      <c r="BW92" s="14" t="e">
        <f t="shared" si="138"/>
        <v>#N/A</v>
      </c>
      <c r="BX92" s="14" t="e">
        <f t="shared" si="139"/>
        <v>#N/A</v>
      </c>
    </row>
    <row r="93" spans="1:76" x14ac:dyDescent="0.25">
      <c r="A93" s="12" t="s">
        <v>547</v>
      </c>
      <c r="B93" s="12" t="s">
        <v>259</v>
      </c>
      <c r="C93" s="15">
        <v>46277</v>
      </c>
      <c r="D93" s="12" t="s">
        <v>300</v>
      </c>
      <c r="E93" s="12" t="s">
        <v>531</v>
      </c>
      <c r="F93" s="12" t="s">
        <v>541</v>
      </c>
      <c r="G93" s="16">
        <v>0.94480324074074074</v>
      </c>
      <c r="H93" s="14">
        <v>63.2</v>
      </c>
      <c r="I93" s="14">
        <v>51.31666666666667</v>
      </c>
      <c r="J93" s="14">
        <v>32.283333333333331</v>
      </c>
      <c r="K93" s="14">
        <v>7.7166666666666668</v>
      </c>
      <c r="L93" s="14">
        <v>69.400000000000006</v>
      </c>
      <c r="M93" s="14">
        <v>57.93333333333333</v>
      </c>
      <c r="N93" s="14">
        <v>164.6</v>
      </c>
      <c r="O93" s="14">
        <v>0.1119717603069536</v>
      </c>
      <c r="P93" s="14">
        <v>0.2137910036648912</v>
      </c>
      <c r="Q93" s="14">
        <v>2.66289259127734E-2</v>
      </c>
      <c r="R93" s="14">
        <v>0.56215733478846408</v>
      </c>
      <c r="S93" s="14">
        <v>67.301100613028154</v>
      </c>
      <c r="T93" s="14">
        <v>56.319756834393488</v>
      </c>
      <c r="U93" s="14">
        <v>197.7381876113653</v>
      </c>
      <c r="V93" s="18"/>
      <c r="W93" s="18"/>
      <c r="X93" s="18"/>
      <c r="Y93" s="18"/>
      <c r="Z93" s="18"/>
      <c r="AA93" s="14" t="str">
        <f>IF(AND(D93&lt;&gt;"EV",D93&lt;&gt;"Diesel"),"Invalid vehicle",IF(COUNTIFS(Routes[Corridor],E93,Routes[Direction],F93)=0,"Unknown route",IF(C93="","Missing date",IF(SUM(O93:U93)&lt;=0,"No distance","OK"))))</f>
        <v>OK</v>
      </c>
      <c r="AB93" s="17">
        <f t="shared" si="114"/>
        <v>46266</v>
      </c>
      <c r="AC93" s="14">
        <f>--(COUNTIFS($C$5:C93,C93,$D$5:D93,D93,$G$5:G93,G93,$F$5:F93,F93)=1)</f>
        <v>0</v>
      </c>
      <c r="AD93" s="14">
        <f t="shared" si="93"/>
        <v>0</v>
      </c>
      <c r="AE93" s="14">
        <f t="shared" si="94"/>
        <v>1</v>
      </c>
      <c r="AF93" s="14">
        <f t="shared" si="115"/>
        <v>0</v>
      </c>
      <c r="AG93" s="14">
        <f>SUMIFS(Routes[Net elevation (m)],Routes[Corridor],E93,Routes[Direction],F93)</f>
        <v>-880</v>
      </c>
      <c r="AH93" s="14">
        <f t="shared" si="95"/>
        <v>16500</v>
      </c>
      <c r="AI93" s="14">
        <f t="shared" si="96"/>
        <v>0.25</v>
      </c>
      <c r="AJ93" s="14">
        <f t="shared" si="97"/>
        <v>8.1</v>
      </c>
      <c r="AK93" s="14">
        <f t="shared" si="116"/>
        <v>322.27359408346001</v>
      </c>
      <c r="AL93" s="14">
        <f t="shared" si="117"/>
        <v>7.4408333333333339</v>
      </c>
      <c r="AM93" s="14">
        <f t="shared" si="118"/>
        <v>6.3875000000000002</v>
      </c>
      <c r="AN93" s="14">
        <f t="shared" si="119"/>
        <v>1.3933333333333333</v>
      </c>
      <c r="AO93" s="14">
        <f t="shared" si="120"/>
        <v>4.9941666666666666</v>
      </c>
      <c r="AP93" s="14">
        <f t="shared" si="121"/>
        <v>64.459443162404554</v>
      </c>
      <c r="AQ93" s="14">
        <f t="shared" si="122"/>
        <v>4.37098575645458</v>
      </c>
      <c r="AR93" s="14">
        <f t="shared" si="123"/>
        <v>58.185389578986872</v>
      </c>
      <c r="AS93" s="14">
        <f t="shared" si="124"/>
        <v>58.328862083951833</v>
      </c>
      <c r="AT93" s="14">
        <f t="shared" si="125"/>
        <v>72.079533758699384</v>
      </c>
      <c r="AU93" s="14">
        <f t="shared" si="98"/>
        <v>168.30856103660744</v>
      </c>
      <c r="AV93" s="14">
        <f t="shared" si="99"/>
        <v>30.641090742302836</v>
      </c>
      <c r="AW93" s="14">
        <f t="shared" si="126"/>
        <v>77.115844452428092</v>
      </c>
      <c r="AX93" s="14">
        <f t="shared" si="100"/>
        <v>-39.567</v>
      </c>
      <c r="AY93" s="14">
        <f t="shared" si="127"/>
        <v>168.30856103660744</v>
      </c>
      <c r="AZ93" s="14">
        <f t="shared" si="101"/>
        <v>-19.7835</v>
      </c>
      <c r="BA93" s="14">
        <f t="shared" si="102"/>
        <v>66.25825371012526</v>
      </c>
      <c r="BB93" s="14">
        <f t="shared" si="128"/>
        <v>225.64090548903553</v>
      </c>
      <c r="BC93" s="14">
        <f t="shared" si="103"/>
        <v>272.06957917530059</v>
      </c>
      <c r="BD93" s="14">
        <f t="shared" si="104"/>
        <v>51.738749999999996</v>
      </c>
      <c r="BE93" s="14">
        <f t="shared" si="105"/>
        <v>0</v>
      </c>
      <c r="BF93" s="14">
        <f t="shared" si="106"/>
        <v>32.970769628695429</v>
      </c>
      <c r="BG93" s="14">
        <f t="shared" si="129"/>
        <v>290.83755954660512</v>
      </c>
      <c r="BH93" s="14" t="str">
        <f t="shared" si="107"/>
        <v/>
      </c>
      <c r="BI93" s="14">
        <f t="shared" si="108"/>
        <v>1</v>
      </c>
      <c r="BJ93" s="14">
        <f t="shared" si="130"/>
        <v>290.83755954660512</v>
      </c>
      <c r="BK93" s="14">
        <f t="shared" si="109"/>
        <v>1047.0152143677785</v>
      </c>
      <c r="BL93" s="14" t="str">
        <f t="shared" si="110"/>
        <v/>
      </c>
      <c r="BM93" s="14">
        <f t="shared" si="111"/>
        <v>316.12778211587511</v>
      </c>
      <c r="BN93" s="14">
        <f t="shared" si="131"/>
        <v>0.90245544433679592</v>
      </c>
      <c r="BO93" s="14">
        <f t="shared" si="132"/>
        <v>1.10808794636381</v>
      </c>
      <c r="BP93" s="14" t="str">
        <f t="shared" si="133"/>
        <v/>
      </c>
      <c r="BQ93" s="22">
        <f t="shared" si="134"/>
        <v>0.77583138106643967</v>
      </c>
      <c r="BR93" s="14">
        <f t="shared" si="112"/>
        <v>3003.2139301008137</v>
      </c>
      <c r="BS93" s="14">
        <f t="shared" si="113"/>
        <v>224.45072530227131</v>
      </c>
      <c r="BT93" s="14">
        <f t="shared" si="135"/>
        <v>9.3188333926082194</v>
      </c>
      <c r="BU93" s="14">
        <f t="shared" si="136"/>
        <v>0.69646017986861419</v>
      </c>
      <c r="BV93" s="22" t="str">
        <f t="shared" si="137"/>
        <v/>
      </c>
      <c r="BW93" s="14" t="e">
        <f t="shared" si="138"/>
        <v>#N/A</v>
      </c>
      <c r="BX93" s="14" t="e">
        <f t="shared" si="139"/>
        <v>#N/A</v>
      </c>
    </row>
    <row r="94" spans="1:76" x14ac:dyDescent="0.25">
      <c r="A94" s="12" t="s">
        <v>548</v>
      </c>
      <c r="B94" s="12" t="s">
        <v>259</v>
      </c>
      <c r="C94" s="15">
        <v>46298</v>
      </c>
      <c r="D94" s="12" t="s">
        <v>457</v>
      </c>
      <c r="E94" s="12" t="s">
        <v>531</v>
      </c>
      <c r="F94" s="12" t="s">
        <v>541</v>
      </c>
      <c r="G94" s="16">
        <v>0.91668981481481482</v>
      </c>
      <c r="H94" s="14">
        <v>0</v>
      </c>
      <c r="I94" s="14">
        <v>24.31666666666667</v>
      </c>
      <c r="J94" s="14">
        <v>2.666666666666667</v>
      </c>
      <c r="K94" s="14">
        <v>5.6833333333333336</v>
      </c>
      <c r="L94" s="14">
        <v>44.133333333333333</v>
      </c>
      <c r="M94" s="14">
        <v>32.116666666666667</v>
      </c>
      <c r="N94" s="14">
        <v>240.50931666666659</v>
      </c>
      <c r="O94" s="14">
        <v>0</v>
      </c>
      <c r="P94" s="14">
        <v>0.44332241051292248</v>
      </c>
      <c r="Q94" s="14">
        <v>0.428265735708522</v>
      </c>
      <c r="R94" s="14">
        <v>0.51104472499002784</v>
      </c>
      <c r="S94" s="14">
        <v>36.197264170490961</v>
      </c>
      <c r="T94" s="14">
        <v>28.879561718426849</v>
      </c>
      <c r="U94" s="14">
        <v>256.18752385879287</v>
      </c>
      <c r="V94" s="18"/>
      <c r="W94" s="18"/>
      <c r="X94" s="18"/>
      <c r="Y94" s="18"/>
      <c r="Z94" s="18"/>
      <c r="AA94" s="14" t="str">
        <f>IF(AND(D94&lt;&gt;"EV",D94&lt;&gt;"Diesel"),"Invalid vehicle",IF(COUNTIFS(Routes[Corridor],E94,Routes[Direction],F94)=0,"Unknown route",IF(C94="","Missing date",IF(SUM(O94:U94)&lt;=0,"No distance","OK"))))</f>
        <v>OK</v>
      </c>
      <c r="AB94" s="17">
        <f t="shared" si="114"/>
        <v>46296</v>
      </c>
      <c r="AC94" s="14">
        <f>--(COUNTIFS($C$5:C94,C94,$D$5:D94,D94,$G$5:G94,G94,$F$5:F94,F94)=1)</f>
        <v>1</v>
      </c>
      <c r="AD94" s="14">
        <f t="shared" si="93"/>
        <v>0</v>
      </c>
      <c r="AE94" s="14">
        <f t="shared" si="94"/>
        <v>1</v>
      </c>
      <c r="AF94" s="14">
        <f t="shared" si="115"/>
        <v>0</v>
      </c>
      <c r="AG94" s="14">
        <f>SUMIFS(Routes[Net elevation (m)],Routes[Corridor],E94,Routes[Direction],F94)</f>
        <v>-880</v>
      </c>
      <c r="AH94" s="14">
        <f t="shared" si="95"/>
        <v>14500</v>
      </c>
      <c r="AI94" s="14">
        <f t="shared" si="96"/>
        <v>0.25</v>
      </c>
      <c r="AJ94" s="14">
        <f t="shared" si="97"/>
        <v>8.1</v>
      </c>
      <c r="AK94" s="14">
        <f t="shared" si="116"/>
        <v>322.64698261892215</v>
      </c>
      <c r="AL94" s="14">
        <f t="shared" si="117"/>
        <v>5.8237663888888882</v>
      </c>
      <c r="AM94" s="14">
        <f t="shared" si="118"/>
        <v>5.8237663888888882</v>
      </c>
      <c r="AN94" s="14">
        <f t="shared" si="119"/>
        <v>0.4497222222222223</v>
      </c>
      <c r="AO94" s="14">
        <f t="shared" si="120"/>
        <v>5.3740441666666658</v>
      </c>
      <c r="AP94" s="14">
        <f t="shared" si="121"/>
        <v>59.875837357006112</v>
      </c>
      <c r="AQ94" s="14">
        <f t="shared" si="122"/>
        <v>5.3951935776073325</v>
      </c>
      <c r="AR94" s="14">
        <f t="shared" si="123"/>
        <v>49.210782104897078</v>
      </c>
      <c r="AS94" s="14">
        <f t="shared" si="124"/>
        <v>53.95247648486594</v>
      </c>
      <c r="AT94" s="14">
        <f t="shared" si="125"/>
        <v>63.911251524743747</v>
      </c>
      <c r="AU94" s="14">
        <f t="shared" si="98"/>
        <v>157.69347136015668</v>
      </c>
      <c r="AV94" s="14">
        <f t="shared" si="99"/>
        <v>13.653836861188635</v>
      </c>
      <c r="AW94" s="14">
        <f t="shared" si="126"/>
        <v>36.448634060563812</v>
      </c>
      <c r="AX94" s="14">
        <f t="shared" si="100"/>
        <v>-34.771000000000001</v>
      </c>
      <c r="AY94" s="14">
        <f t="shared" si="127"/>
        <v>157.69347136015668</v>
      </c>
      <c r="AZ94" s="14">
        <f t="shared" si="101"/>
        <v>-17.3855</v>
      </c>
      <c r="BA94" s="14">
        <f t="shared" si="102"/>
        <v>40.180297199375175</v>
      </c>
      <c r="BB94" s="14">
        <f t="shared" si="128"/>
        <v>176.75660542072049</v>
      </c>
      <c r="BC94" s="14">
        <f t="shared" si="103"/>
        <v>548.93355720720649</v>
      </c>
      <c r="BD94" s="14">
        <f t="shared" si="104"/>
        <v>124.37073642857142</v>
      </c>
      <c r="BE94" s="14">
        <f t="shared" si="105"/>
        <v>11.211824845679013</v>
      </c>
      <c r="BF94" s="14">
        <f t="shared" si="106"/>
        <v>0</v>
      </c>
      <c r="BG94" s="14">
        <f t="shared" si="129"/>
        <v>684.51611848145683</v>
      </c>
      <c r="BH94" s="14" t="str">
        <f t="shared" si="107"/>
        <v/>
      </c>
      <c r="BI94" s="14">
        <f t="shared" si="108"/>
        <v>1</v>
      </c>
      <c r="BJ94" s="14">
        <f t="shared" si="130"/>
        <v>684.51611848145683</v>
      </c>
      <c r="BK94" s="14">
        <f t="shared" si="109"/>
        <v>2464.2580265332444</v>
      </c>
      <c r="BL94" s="14">
        <f t="shared" si="110"/>
        <v>68.642284861650268</v>
      </c>
      <c r="BM94" s="14" t="str">
        <f t="shared" si="111"/>
        <v/>
      </c>
      <c r="BN94" s="14">
        <f t="shared" si="131"/>
        <v>2.1215636759570682</v>
      </c>
      <c r="BO94" s="14">
        <f t="shared" si="132"/>
        <v>0.47135045312693025</v>
      </c>
      <c r="BP94" s="14">
        <f t="shared" si="133"/>
        <v>4.7004114631268878</v>
      </c>
      <c r="BQ94" s="22">
        <f t="shared" si="134"/>
        <v>0.25822124658341222</v>
      </c>
      <c r="BR94" s="14">
        <f t="shared" si="112"/>
        <v>6315.0902072718245</v>
      </c>
      <c r="BS94" s="14">
        <f t="shared" si="113"/>
        <v>183.96132342922272</v>
      </c>
      <c r="BT94" s="14">
        <f t="shared" si="135"/>
        <v>19.572754581531505</v>
      </c>
      <c r="BU94" s="14">
        <f t="shared" si="136"/>
        <v>0.57016285085330909</v>
      </c>
      <c r="BV94" s="22" t="str">
        <f t="shared" si="137"/>
        <v/>
      </c>
      <c r="BW94" s="14" t="e">
        <f t="shared" si="138"/>
        <v>#N/A</v>
      </c>
      <c r="BX94" s="14" t="e">
        <f t="shared" si="139"/>
        <v>#N/A</v>
      </c>
    </row>
    <row r="95" spans="1:76" x14ac:dyDescent="0.25">
      <c r="A95" s="12" t="s">
        <v>549</v>
      </c>
      <c r="B95" s="12" t="s">
        <v>263</v>
      </c>
      <c r="C95" s="15">
        <v>46298</v>
      </c>
      <c r="D95" s="12" t="s">
        <v>300</v>
      </c>
      <c r="E95" s="12" t="s">
        <v>531</v>
      </c>
      <c r="F95" s="12" t="s">
        <v>541</v>
      </c>
      <c r="G95" s="16">
        <v>0.93253472222222222</v>
      </c>
      <c r="H95" s="14">
        <v>34.833333333333343</v>
      </c>
      <c r="I95" s="14">
        <v>37.450000000000003</v>
      </c>
      <c r="J95" s="14">
        <v>18.850000000000001</v>
      </c>
      <c r="K95" s="14">
        <v>8</v>
      </c>
      <c r="L95" s="14">
        <v>64.659216666666666</v>
      </c>
      <c r="M95" s="14">
        <v>54.06666666666667</v>
      </c>
      <c r="N95" s="14">
        <v>176.77581666666671</v>
      </c>
      <c r="O95" s="14">
        <v>8.8935996553685642E-2</v>
      </c>
      <c r="P95" s="14">
        <v>0.1794253337608642</v>
      </c>
      <c r="Q95" s="14">
        <v>5.059730733317578E-2</v>
      </c>
      <c r="R95" s="14">
        <v>0.57665162648251256</v>
      </c>
      <c r="S95" s="14">
        <v>63.807175975714962</v>
      </c>
      <c r="T95" s="14">
        <v>54.004262033049137</v>
      </c>
      <c r="U95" s="14">
        <v>206.22798010798391</v>
      </c>
      <c r="V95" s="18"/>
      <c r="W95" s="18"/>
      <c r="X95" s="18"/>
      <c r="Y95" s="18"/>
      <c r="Z95" s="18"/>
      <c r="AA95" s="14" t="str">
        <f>IF(AND(D95&lt;&gt;"EV",D95&lt;&gt;"Diesel"),"Invalid vehicle",IF(COUNTIFS(Routes[Corridor],E95,Routes[Direction],F95)=0,"Unknown route",IF(C95="","Missing date",IF(SUM(O95:U95)&lt;=0,"No distance","OK"))))</f>
        <v>OK</v>
      </c>
      <c r="AB95" s="17">
        <f t="shared" si="114"/>
        <v>46296</v>
      </c>
      <c r="AC95" s="14">
        <f>--(COUNTIFS($C$5:C95,C95,$D$5:D95,D95,$G$5:G95,G95,$F$5:F95,F95)=1)</f>
        <v>1</v>
      </c>
      <c r="AD95" s="14">
        <f t="shared" si="93"/>
        <v>0</v>
      </c>
      <c r="AE95" s="14">
        <f t="shared" si="94"/>
        <v>1</v>
      </c>
      <c r="AF95" s="14">
        <f t="shared" si="115"/>
        <v>0</v>
      </c>
      <c r="AG95" s="14">
        <f>SUMIFS(Routes[Net elevation (m)],Routes[Corridor],E95,Routes[Direction],F95)</f>
        <v>-880</v>
      </c>
      <c r="AH95" s="14">
        <f t="shared" si="95"/>
        <v>16500</v>
      </c>
      <c r="AI95" s="14">
        <f t="shared" si="96"/>
        <v>0.25</v>
      </c>
      <c r="AJ95" s="14">
        <f t="shared" si="97"/>
        <v>8.1</v>
      </c>
      <c r="AK95" s="14">
        <f t="shared" si="116"/>
        <v>324.93502838087824</v>
      </c>
      <c r="AL95" s="14">
        <f t="shared" si="117"/>
        <v>6.5772505555555556</v>
      </c>
      <c r="AM95" s="14">
        <f t="shared" si="118"/>
        <v>5.9966950000000017</v>
      </c>
      <c r="AN95" s="14">
        <f t="shared" si="119"/>
        <v>0.93833333333333335</v>
      </c>
      <c r="AO95" s="14">
        <f t="shared" si="120"/>
        <v>5.0583616666666673</v>
      </c>
      <c r="AP95" s="14">
        <f t="shared" si="121"/>
        <v>64.174151856789692</v>
      </c>
      <c r="AQ95" s="14">
        <f t="shared" si="122"/>
        <v>4.3248871986188444</v>
      </c>
      <c r="AR95" s="14">
        <f t="shared" si="123"/>
        <v>59.209355694476628</v>
      </c>
      <c r="AS95" s="14">
        <f t="shared" si="124"/>
        <v>59.930747015714203</v>
      </c>
      <c r="AT95" s="14">
        <f t="shared" si="125"/>
        <v>69.996445440335194</v>
      </c>
      <c r="AU95" s="14">
        <f t="shared" si="98"/>
        <v>168.45383095467631</v>
      </c>
      <c r="AV95" s="14">
        <f t="shared" si="99"/>
        <v>30.070885123388692</v>
      </c>
      <c r="AW95" s="14">
        <f t="shared" si="126"/>
        <v>73.112389138840058</v>
      </c>
      <c r="AX95" s="14">
        <f t="shared" si="100"/>
        <v>-39.567</v>
      </c>
      <c r="AY95" s="14">
        <f t="shared" si="127"/>
        <v>168.45383095467631</v>
      </c>
      <c r="AZ95" s="14">
        <f t="shared" si="101"/>
        <v>-19.7835</v>
      </c>
      <c r="BA95" s="14">
        <f t="shared" si="102"/>
        <v>62.82500401545137</v>
      </c>
      <c r="BB95" s="14">
        <f t="shared" si="128"/>
        <v>221.78272009351636</v>
      </c>
      <c r="BC95" s="14">
        <f t="shared" si="103"/>
        <v>267.41751985713677</v>
      </c>
      <c r="BD95" s="14">
        <f t="shared" si="104"/>
        <v>48.573229500000011</v>
      </c>
      <c r="BE95" s="14">
        <f t="shared" si="105"/>
        <v>0</v>
      </c>
      <c r="BF95" s="14">
        <f t="shared" si="106"/>
        <v>31.262350248128751</v>
      </c>
      <c r="BG95" s="14">
        <f t="shared" si="129"/>
        <v>284.72839910900802</v>
      </c>
      <c r="BH95" s="14" t="str">
        <f t="shared" si="107"/>
        <v/>
      </c>
      <c r="BI95" s="14">
        <f t="shared" si="108"/>
        <v>1</v>
      </c>
      <c r="BJ95" s="14">
        <f t="shared" si="130"/>
        <v>284.72839910900802</v>
      </c>
      <c r="BK95" s="14">
        <f t="shared" si="109"/>
        <v>1025.0222367924289</v>
      </c>
      <c r="BL95" s="14" t="str">
        <f t="shared" si="110"/>
        <v/>
      </c>
      <c r="BM95" s="14">
        <f t="shared" si="111"/>
        <v>309.48739033587827</v>
      </c>
      <c r="BN95" s="14">
        <f t="shared" si="131"/>
        <v>0.87626255786513318</v>
      </c>
      <c r="BO95" s="14">
        <f t="shared" si="132"/>
        <v>1.141210463718012</v>
      </c>
      <c r="BP95" s="14" t="str">
        <f t="shared" si="133"/>
        <v/>
      </c>
      <c r="BQ95" s="22">
        <f t="shared" si="134"/>
        <v>0.7789272892606931</v>
      </c>
      <c r="BR95" s="14">
        <f t="shared" si="112"/>
        <v>2940.1302081908434</v>
      </c>
      <c r="BS95" s="14">
        <f t="shared" si="113"/>
        <v>219.73604713847357</v>
      </c>
      <c r="BT95" s="14">
        <f t="shared" si="135"/>
        <v>9.0483633692595262</v>
      </c>
      <c r="BU95" s="14">
        <f t="shared" si="136"/>
        <v>0.67624610443939626</v>
      </c>
      <c r="BV95" s="22" t="str">
        <f t="shared" si="137"/>
        <v/>
      </c>
      <c r="BW95" s="14" t="e">
        <f t="shared" si="138"/>
        <v>#N/A</v>
      </c>
      <c r="BX95" s="14" t="e">
        <f t="shared" si="139"/>
        <v>#N/A</v>
      </c>
    </row>
    <row r="96" spans="1:76" x14ac:dyDescent="0.25">
      <c r="A96" s="12" t="s">
        <v>550</v>
      </c>
      <c r="B96" s="12" t="s">
        <v>263</v>
      </c>
      <c r="C96" s="15">
        <v>46277</v>
      </c>
      <c r="D96" s="12" t="s">
        <v>457</v>
      </c>
      <c r="E96" s="12" t="s">
        <v>531</v>
      </c>
      <c r="F96" s="12" t="s">
        <v>541</v>
      </c>
      <c r="G96" s="16">
        <v>0.96741898148148153</v>
      </c>
      <c r="H96" s="14">
        <v>0</v>
      </c>
      <c r="I96" s="14">
        <v>20.583333333333329</v>
      </c>
      <c r="J96" s="14">
        <v>2.833333333333333</v>
      </c>
      <c r="K96" s="14">
        <v>4</v>
      </c>
      <c r="L96" s="14">
        <v>46.733333333333327</v>
      </c>
      <c r="M96" s="14">
        <v>35.116666666666667</v>
      </c>
      <c r="N96" s="14">
        <v>220.48333333333329</v>
      </c>
      <c r="O96" s="14">
        <v>0</v>
      </c>
      <c r="P96" s="14">
        <v>0.47667835410688608</v>
      </c>
      <c r="Q96" s="14">
        <v>1.27297174998127E-2</v>
      </c>
      <c r="R96" s="14">
        <v>0.4202840859765154</v>
      </c>
      <c r="S96" s="14">
        <v>41.502099869045793</v>
      </c>
      <c r="T96" s="14">
        <v>32.504544856726113</v>
      </c>
      <c r="U96" s="14">
        <v>250.81001115689449</v>
      </c>
      <c r="V96" s="18"/>
      <c r="W96" s="18"/>
      <c r="X96" s="18"/>
      <c r="Y96" s="18"/>
      <c r="Z96" s="18"/>
      <c r="AA96" s="14" t="str">
        <f>IF(AND(D96&lt;&gt;"EV",D96&lt;&gt;"Diesel"),"Invalid vehicle",IF(COUNTIFS(Routes[Corridor],E96,Routes[Direction],F96)=0,"Unknown route",IF(C96="","Missing date",IF(SUM(O96:U96)&lt;=0,"No distance","OK"))))</f>
        <v>OK</v>
      </c>
      <c r="AB96" s="17">
        <f t="shared" si="114"/>
        <v>46266</v>
      </c>
      <c r="AC96" s="14">
        <f>--(COUNTIFS($C$5:C96,C96,$D$5:D96,D96,$G$5:G96,G96,$F$5:F96,F96)=1)</f>
        <v>0</v>
      </c>
      <c r="AD96" s="14">
        <f t="shared" si="93"/>
        <v>0</v>
      </c>
      <c r="AE96" s="14">
        <f t="shared" si="94"/>
        <v>1</v>
      </c>
      <c r="AF96" s="14">
        <f t="shared" si="115"/>
        <v>0</v>
      </c>
      <c r="AG96" s="14">
        <f>SUMIFS(Routes[Net elevation (m)],Routes[Corridor],E96,Routes[Direction],F96)</f>
        <v>-880</v>
      </c>
      <c r="AH96" s="14">
        <f t="shared" si="95"/>
        <v>14500</v>
      </c>
      <c r="AI96" s="14">
        <f t="shared" si="96"/>
        <v>0.25</v>
      </c>
      <c r="AJ96" s="14">
        <f t="shared" si="97"/>
        <v>8.1</v>
      </c>
      <c r="AK96" s="14">
        <f t="shared" si="116"/>
        <v>325.7263480402496</v>
      </c>
      <c r="AL96" s="14">
        <f t="shared" si="117"/>
        <v>5.4958333333333327</v>
      </c>
      <c r="AM96" s="14">
        <f t="shared" si="118"/>
        <v>5.4958333333333327</v>
      </c>
      <c r="AN96" s="14">
        <f t="shared" si="119"/>
        <v>0.39027777777777767</v>
      </c>
      <c r="AO96" s="14">
        <f t="shared" si="120"/>
        <v>5.1055555555555543</v>
      </c>
      <c r="AP96" s="14">
        <f t="shared" si="121"/>
        <v>63.702556250659129</v>
      </c>
      <c r="AQ96" s="14">
        <f t="shared" si="122"/>
        <v>6.304261289647731</v>
      </c>
      <c r="AR96" s="14">
        <f t="shared" si="123"/>
        <v>53.283723084366933</v>
      </c>
      <c r="AS96" s="14">
        <f t="shared" si="124"/>
        <v>55.536953718184151</v>
      </c>
      <c r="AT96" s="14">
        <f t="shared" si="125"/>
        <v>68.252781023873339</v>
      </c>
      <c r="AU96" s="14">
        <f t="shared" si="98"/>
        <v>167.79585002830225</v>
      </c>
      <c r="AV96" s="14">
        <f t="shared" si="99"/>
        <v>15.747755295805231</v>
      </c>
      <c r="AW96" s="14">
        <f t="shared" si="126"/>
        <v>41.790308895914166</v>
      </c>
      <c r="AX96" s="14">
        <f t="shared" si="100"/>
        <v>-34.771000000000001</v>
      </c>
      <c r="AY96" s="14">
        <f t="shared" si="127"/>
        <v>167.79585002830225</v>
      </c>
      <c r="AZ96" s="14">
        <f t="shared" si="101"/>
        <v>-17.3855</v>
      </c>
      <c r="BA96" s="14">
        <f t="shared" si="102"/>
        <v>43.428053600108939</v>
      </c>
      <c r="BB96" s="14">
        <f t="shared" si="128"/>
        <v>192.20065892421641</v>
      </c>
      <c r="BC96" s="14">
        <f t="shared" si="103"/>
        <v>596.89645628638641</v>
      </c>
      <c r="BD96" s="14">
        <f t="shared" si="104"/>
        <v>118.15714285714283</v>
      </c>
      <c r="BE96" s="14">
        <f t="shared" si="105"/>
        <v>9.7298418209876516</v>
      </c>
      <c r="BF96" s="14">
        <f t="shared" si="106"/>
        <v>0</v>
      </c>
      <c r="BG96" s="14">
        <f t="shared" si="129"/>
        <v>724.7834409645169</v>
      </c>
      <c r="BH96" s="14" t="str">
        <f t="shared" si="107"/>
        <v/>
      </c>
      <c r="BI96" s="14">
        <f t="shared" si="108"/>
        <v>1</v>
      </c>
      <c r="BJ96" s="14">
        <f t="shared" si="130"/>
        <v>724.7834409645169</v>
      </c>
      <c r="BK96" s="14">
        <f t="shared" si="109"/>
        <v>2609.2203874722609</v>
      </c>
      <c r="BL96" s="14">
        <f t="shared" si="110"/>
        <v>72.680233634324821</v>
      </c>
      <c r="BM96" s="14" t="str">
        <f t="shared" si="111"/>
        <v/>
      </c>
      <c r="BN96" s="14">
        <f t="shared" si="131"/>
        <v>2.2251299144979093</v>
      </c>
      <c r="BO96" s="14">
        <f t="shared" si="132"/>
        <v>0.44941196173961173</v>
      </c>
      <c r="BP96" s="14">
        <f t="shared" si="133"/>
        <v>4.4816359517922386</v>
      </c>
      <c r="BQ96" s="22">
        <f t="shared" si="134"/>
        <v>0.26518356803025517</v>
      </c>
      <c r="BR96" s="14">
        <f t="shared" si="112"/>
        <v>6686.5814943578835</v>
      </c>
      <c r="BS96" s="14">
        <f t="shared" si="113"/>
        <v>194.78302613999054</v>
      </c>
      <c r="BT96" s="14">
        <f t="shared" si="135"/>
        <v>20.528218041273195</v>
      </c>
      <c r="BU96" s="14">
        <f t="shared" si="136"/>
        <v>0.59799591685448006</v>
      </c>
      <c r="BV96" s="22" t="str">
        <f t="shared" si="137"/>
        <v/>
      </c>
      <c r="BW96" s="14" t="e">
        <f t="shared" si="138"/>
        <v>#N/A</v>
      </c>
      <c r="BX96" s="14" t="e">
        <f t="shared" si="139"/>
        <v>#N/A</v>
      </c>
    </row>
    <row r="97" spans="1:76" x14ac:dyDescent="0.25">
      <c r="A97" s="12" t="s">
        <v>551</v>
      </c>
      <c r="B97" s="12" t="s">
        <v>266</v>
      </c>
      <c r="C97" s="15">
        <v>46297</v>
      </c>
      <c r="D97" s="12" t="s">
        <v>300</v>
      </c>
      <c r="E97" s="12" t="s">
        <v>531</v>
      </c>
      <c r="F97" s="12" t="s">
        <v>532</v>
      </c>
      <c r="G97" s="16">
        <v>0.96744212962962961</v>
      </c>
      <c r="H97" s="14">
        <v>44.68333333333333</v>
      </c>
      <c r="I97" s="14">
        <v>6.6833333333333336</v>
      </c>
      <c r="J97" s="14">
        <v>11.75</v>
      </c>
      <c r="K97" s="14">
        <v>2.0166666666666671</v>
      </c>
      <c r="L97" s="14">
        <v>64.3</v>
      </c>
      <c r="M97" s="14">
        <v>51.866666666666667</v>
      </c>
      <c r="N97" s="14">
        <v>172.54785000000001</v>
      </c>
      <c r="O97" s="14">
        <v>5.2222732101069563E-2</v>
      </c>
      <c r="P97" s="14">
        <v>0.12701409600270411</v>
      </c>
      <c r="Q97" s="14">
        <v>3.1548608690509579E-2</v>
      </c>
      <c r="R97" s="14">
        <v>0.16750319091501231</v>
      </c>
      <c r="S97" s="14">
        <v>59.945805897200891</v>
      </c>
      <c r="T97" s="14">
        <v>53.823119668093447</v>
      </c>
      <c r="U97" s="14">
        <v>211.23443710140779</v>
      </c>
      <c r="V97" s="18"/>
      <c r="W97" s="18"/>
      <c r="X97" s="18"/>
      <c r="Y97" s="18"/>
      <c r="Z97" s="18"/>
      <c r="AA97" s="14" t="str">
        <f>IF(AND(D97&lt;&gt;"EV",D97&lt;&gt;"Diesel"),"Invalid vehicle",IF(COUNTIFS(Routes[Corridor],E97,Routes[Direction],F97)=0,"Unknown route",IF(C97="","Missing date",IF(SUM(O97:U97)&lt;=0,"No distance","OK"))))</f>
        <v>OK</v>
      </c>
      <c r="AB97" s="17">
        <f t="shared" si="114"/>
        <v>46296</v>
      </c>
      <c r="AC97" s="14">
        <f>--(COUNTIFS($C$5:C97,C97,$D$5:D97,D97,$G$5:G97,G97,$F$5:F97,F97)=1)</f>
        <v>0</v>
      </c>
      <c r="AD97" s="14">
        <f t="shared" si="93"/>
        <v>0</v>
      </c>
      <c r="AE97" s="14">
        <f t="shared" si="94"/>
        <v>1</v>
      </c>
      <c r="AF97" s="14">
        <f t="shared" si="115"/>
        <v>0</v>
      </c>
      <c r="AG97" s="14">
        <f>SUMIFS(Routes[Net elevation (m)],Routes[Corridor],E97,Routes[Direction],F97)</f>
        <v>880</v>
      </c>
      <c r="AH97" s="14">
        <f t="shared" si="95"/>
        <v>16500</v>
      </c>
      <c r="AI97" s="14">
        <f t="shared" si="96"/>
        <v>0.25</v>
      </c>
      <c r="AJ97" s="14">
        <f t="shared" si="97"/>
        <v>8.1</v>
      </c>
      <c r="AK97" s="14">
        <f t="shared" si="116"/>
        <v>325.38165129441143</v>
      </c>
      <c r="AL97" s="14">
        <f t="shared" si="117"/>
        <v>5.8974641666666665</v>
      </c>
      <c r="AM97" s="14">
        <f t="shared" si="118"/>
        <v>5.1527419444444451</v>
      </c>
      <c r="AN97" s="14">
        <f t="shared" si="119"/>
        <v>0.30722222222222223</v>
      </c>
      <c r="AO97" s="14">
        <f t="shared" si="120"/>
        <v>4.8455197222222219</v>
      </c>
      <c r="AP97" s="14">
        <f t="shared" si="121"/>
        <v>67.10753118315435</v>
      </c>
      <c r="AQ97" s="14">
        <f t="shared" si="122"/>
        <v>4.9835660106945801</v>
      </c>
      <c r="AR97" s="14">
        <f t="shared" si="123"/>
        <v>55.93698839552183</v>
      </c>
      <c r="AS97" s="14">
        <f t="shared" si="124"/>
        <v>62.263248973372882</v>
      </c>
      <c r="AT97" s="14">
        <f t="shared" si="125"/>
        <v>73.452472610261253</v>
      </c>
      <c r="AU97" s="14">
        <f t="shared" si="98"/>
        <v>174.92788312508841</v>
      </c>
      <c r="AV97" s="14">
        <f t="shared" si="99"/>
        <v>31.004001441200771</v>
      </c>
      <c r="AW97" s="14">
        <f t="shared" si="126"/>
        <v>68.687902590542691</v>
      </c>
      <c r="AX97" s="14">
        <f t="shared" si="100"/>
        <v>39.567</v>
      </c>
      <c r="AY97" s="14">
        <f t="shared" si="127"/>
        <v>174.92788312508841</v>
      </c>
      <c r="AZ97" s="14">
        <f t="shared" si="101"/>
        <v>39.567</v>
      </c>
      <c r="BA97" s="14">
        <f t="shared" si="102"/>
        <v>37.683901149341921</v>
      </c>
      <c r="BB97" s="14">
        <f t="shared" si="128"/>
        <v>283.1827857156311</v>
      </c>
      <c r="BC97" s="14">
        <f t="shared" si="103"/>
        <v>341.45148093763925</v>
      </c>
      <c r="BD97" s="14">
        <f t="shared" si="104"/>
        <v>41.737209750000005</v>
      </c>
      <c r="BE97" s="14">
        <f t="shared" si="105"/>
        <v>0</v>
      </c>
      <c r="BF97" s="14">
        <f t="shared" si="106"/>
        <v>18.751886050924032</v>
      </c>
      <c r="BG97" s="14">
        <f t="shared" si="129"/>
        <v>364.43680463671518</v>
      </c>
      <c r="BH97" s="14" t="str">
        <f t="shared" si="107"/>
        <v/>
      </c>
      <c r="BI97" s="14">
        <f t="shared" si="108"/>
        <v>1</v>
      </c>
      <c r="BJ97" s="14">
        <f t="shared" si="130"/>
        <v>364.43680463671518</v>
      </c>
      <c r="BK97" s="14">
        <f t="shared" si="109"/>
        <v>1311.9724966921747</v>
      </c>
      <c r="BL97" s="14" t="str">
        <f t="shared" si="110"/>
        <v/>
      </c>
      <c r="BM97" s="14">
        <f t="shared" si="111"/>
        <v>396.12696156164691</v>
      </c>
      <c r="BN97" s="14">
        <f t="shared" si="131"/>
        <v>1.1200287514275533</v>
      </c>
      <c r="BO97" s="14">
        <f t="shared" si="132"/>
        <v>0.89283422298350068</v>
      </c>
      <c r="BP97" s="14" t="str">
        <f t="shared" si="133"/>
        <v/>
      </c>
      <c r="BQ97" s="22">
        <f t="shared" si="134"/>
        <v>0.77704222546325619</v>
      </c>
      <c r="BR97" s="14">
        <f t="shared" si="112"/>
        <v>3763.2061348356456</v>
      </c>
      <c r="BS97" s="14">
        <f t="shared" si="113"/>
        <v>281.25014270876932</v>
      </c>
      <c r="BT97" s="14">
        <f t="shared" si="135"/>
        <v>11.565514281045386</v>
      </c>
      <c r="BU97" s="14">
        <f t="shared" si="136"/>
        <v>0.86437001468865526</v>
      </c>
      <c r="BV97" s="22" t="str">
        <f t="shared" si="137"/>
        <v/>
      </c>
      <c r="BW97" s="14" t="e">
        <f t="shared" si="138"/>
        <v>#N/A</v>
      </c>
      <c r="BX97" s="14" t="e">
        <f t="shared" si="139"/>
        <v>#N/A</v>
      </c>
    </row>
    <row r="98" spans="1:76" x14ac:dyDescent="0.25">
      <c r="A98" s="12" t="s">
        <v>552</v>
      </c>
      <c r="B98" s="12" t="s">
        <v>266</v>
      </c>
      <c r="C98" s="15">
        <v>46283</v>
      </c>
      <c r="D98" s="12" t="s">
        <v>457</v>
      </c>
      <c r="E98" s="12" t="s">
        <v>531</v>
      </c>
      <c r="F98" s="12" t="s">
        <v>532</v>
      </c>
      <c r="G98" s="16">
        <v>0.71868055555555554</v>
      </c>
      <c r="H98" s="14">
        <v>0</v>
      </c>
      <c r="I98" s="14">
        <v>62.766666666666673</v>
      </c>
      <c r="J98" s="14">
        <v>8.9</v>
      </c>
      <c r="K98" s="14">
        <v>3.3</v>
      </c>
      <c r="L98" s="14">
        <v>67.36666666666666</v>
      </c>
      <c r="M98" s="14">
        <v>48.233333333333327</v>
      </c>
      <c r="N98" s="14">
        <v>221.9214666666667</v>
      </c>
      <c r="O98" s="14">
        <v>0</v>
      </c>
      <c r="P98" s="14">
        <v>0.90317783554809627</v>
      </c>
      <c r="Q98" s="14">
        <v>0.108236844142404</v>
      </c>
      <c r="R98" s="14">
        <v>0.64815348413888652</v>
      </c>
      <c r="S98" s="14">
        <v>52.960680605724093</v>
      </c>
      <c r="T98" s="14">
        <v>38.363873389086699</v>
      </c>
      <c r="U98" s="14">
        <v>232.18900722070151</v>
      </c>
      <c r="V98" s="18"/>
      <c r="W98" s="18"/>
      <c r="X98" s="18"/>
      <c r="Y98" s="18"/>
      <c r="Z98" s="18"/>
      <c r="AA98" s="14" t="str">
        <f>IF(AND(D98&lt;&gt;"EV",D98&lt;&gt;"Diesel"),"Invalid vehicle",IF(COUNTIFS(Routes[Corridor],E98,Routes[Direction],F98)=0,"Unknown route",IF(C98="","Missing date",IF(SUM(O98:U98)&lt;=0,"No distance","OK"))))</f>
        <v>OK</v>
      </c>
      <c r="AB98" s="17">
        <f t="shared" si="114"/>
        <v>46266</v>
      </c>
      <c r="AC98" s="14">
        <f>--(COUNTIFS($C$5:C98,C98,$D$5:D98,D98,$G$5:G98,G98,$F$5:F98,F98)=1)</f>
        <v>1</v>
      </c>
      <c r="AD98" s="14">
        <f t="shared" si="93"/>
        <v>0</v>
      </c>
      <c r="AE98" s="14">
        <f t="shared" si="94"/>
        <v>1</v>
      </c>
      <c r="AF98" s="14">
        <f t="shared" si="115"/>
        <v>0</v>
      </c>
      <c r="AG98" s="14">
        <f>SUMIFS(Routes[Net elevation (m)],Routes[Corridor],E98,Routes[Direction],F98)</f>
        <v>880</v>
      </c>
      <c r="AH98" s="14">
        <f t="shared" si="95"/>
        <v>14500</v>
      </c>
      <c r="AI98" s="14">
        <f t="shared" si="96"/>
        <v>0.25</v>
      </c>
      <c r="AJ98" s="14">
        <f t="shared" si="97"/>
        <v>8.1</v>
      </c>
      <c r="AK98" s="14">
        <f t="shared" si="116"/>
        <v>325.17312937934167</v>
      </c>
      <c r="AL98" s="14">
        <f t="shared" si="117"/>
        <v>6.8748022222222227</v>
      </c>
      <c r="AM98" s="14">
        <f t="shared" si="118"/>
        <v>6.8748022222222227</v>
      </c>
      <c r="AN98" s="14">
        <f t="shared" si="119"/>
        <v>1.1944444444444444</v>
      </c>
      <c r="AO98" s="14">
        <f t="shared" si="120"/>
        <v>5.6803577777777772</v>
      </c>
      <c r="AP98" s="14">
        <f t="shared" si="121"/>
        <v>57.067129814922865</v>
      </c>
      <c r="AQ98" s="14">
        <f t="shared" si="122"/>
        <v>11.784608802525209</v>
      </c>
      <c r="AR98" s="14">
        <f t="shared" si="123"/>
        <v>47.169334532559809</v>
      </c>
      <c r="AS98" s="14">
        <f t="shared" si="124"/>
        <v>47.722855632588853</v>
      </c>
      <c r="AT98" s="14">
        <f t="shared" si="125"/>
        <v>62.775992978486485</v>
      </c>
      <c r="AU98" s="14">
        <f t="shared" si="98"/>
        <v>148.94997277047025</v>
      </c>
      <c r="AV98" s="14">
        <f t="shared" si="99"/>
        <v>16.500041856737379</v>
      </c>
      <c r="AW98" s="14">
        <f t="shared" si="126"/>
        <v>53.32846310993051</v>
      </c>
      <c r="AX98" s="14">
        <f t="shared" si="100"/>
        <v>34.771000000000001</v>
      </c>
      <c r="AY98" s="14">
        <f t="shared" si="127"/>
        <v>148.94997277047025</v>
      </c>
      <c r="AZ98" s="14">
        <f t="shared" si="101"/>
        <v>34.771000000000001</v>
      </c>
      <c r="BA98" s="14">
        <f t="shared" si="102"/>
        <v>36.828421253193127</v>
      </c>
      <c r="BB98" s="14">
        <f t="shared" si="128"/>
        <v>237.04943588040078</v>
      </c>
      <c r="BC98" s="14">
        <f t="shared" si="103"/>
        <v>736.17837229938129</v>
      </c>
      <c r="BD98" s="14">
        <f t="shared" si="104"/>
        <v>131.45970857142856</v>
      </c>
      <c r="BE98" s="14">
        <f t="shared" si="105"/>
        <v>29.778163580246911</v>
      </c>
      <c r="BF98" s="14">
        <f t="shared" si="106"/>
        <v>0</v>
      </c>
      <c r="BG98" s="14">
        <f t="shared" si="129"/>
        <v>897.41624445105674</v>
      </c>
      <c r="BH98" s="14" t="str">
        <f t="shared" si="107"/>
        <v/>
      </c>
      <c r="BI98" s="14">
        <f t="shared" si="108"/>
        <v>1</v>
      </c>
      <c r="BJ98" s="14">
        <f t="shared" si="130"/>
        <v>897.41624445105674</v>
      </c>
      <c r="BK98" s="14">
        <f t="shared" si="109"/>
        <v>3230.6984800238042</v>
      </c>
      <c r="BL98" s="14">
        <f t="shared" si="110"/>
        <v>89.991601114869212</v>
      </c>
      <c r="BM98" s="14" t="str">
        <f t="shared" si="111"/>
        <v/>
      </c>
      <c r="BN98" s="14">
        <f t="shared" si="131"/>
        <v>2.7598105850995629</v>
      </c>
      <c r="BO98" s="14">
        <f t="shared" si="132"/>
        <v>0.36234370771642072</v>
      </c>
      <c r="BP98" s="14">
        <f t="shared" si="133"/>
        <v>3.6133719741720838</v>
      </c>
      <c r="BQ98" s="22">
        <f t="shared" si="134"/>
        <v>0.26414658453770501</v>
      </c>
      <c r="BR98" s="14">
        <f t="shared" si="112"/>
        <v>8279.2273025679679</v>
      </c>
      <c r="BS98" s="14">
        <f t="shared" si="113"/>
        <v>241.1774909878495</v>
      </c>
      <c r="BT98" s="14">
        <f t="shared" si="135"/>
        <v>25.460982333843322</v>
      </c>
      <c r="BU98" s="14">
        <f t="shared" si="136"/>
        <v>0.74168948537717505</v>
      </c>
      <c r="BV98" s="22" t="str">
        <f t="shared" si="137"/>
        <v/>
      </c>
      <c r="BW98" s="14" t="e">
        <f t="shared" si="138"/>
        <v>#N/A</v>
      </c>
      <c r="BX98" s="14" t="e">
        <f t="shared" si="139"/>
        <v>#N/A</v>
      </c>
    </row>
    <row r="99" spans="1:76" x14ac:dyDescent="0.25">
      <c r="A99" s="12" t="s">
        <v>553</v>
      </c>
      <c r="B99" s="12" t="s">
        <v>269</v>
      </c>
      <c r="C99" s="15">
        <v>46285</v>
      </c>
      <c r="D99" s="12" t="s">
        <v>300</v>
      </c>
      <c r="E99" s="12" t="s">
        <v>531</v>
      </c>
      <c r="F99" s="12" t="s">
        <v>541</v>
      </c>
      <c r="G99" s="16">
        <v>0.47643518518518518</v>
      </c>
      <c r="H99" s="14">
        <v>0</v>
      </c>
      <c r="I99" s="14">
        <v>65.983333333333334</v>
      </c>
      <c r="J99" s="14">
        <v>30.533333333333331</v>
      </c>
      <c r="K99" s="14">
        <v>6.3833333333333337</v>
      </c>
      <c r="L99" s="14">
        <v>76.566666666666663</v>
      </c>
      <c r="M99" s="14">
        <v>59.983333333333327</v>
      </c>
      <c r="N99" s="14">
        <v>171.2833333333333</v>
      </c>
      <c r="O99" s="14">
        <v>0</v>
      </c>
      <c r="P99" s="14">
        <v>0.24021946013287521</v>
      </c>
      <c r="Q99" s="14">
        <v>0.21586370090681031</v>
      </c>
      <c r="R99" s="14">
        <v>0.59801557616878198</v>
      </c>
      <c r="S99" s="14">
        <v>71.216839058001057</v>
      </c>
      <c r="T99" s="14">
        <v>57.608886510204798</v>
      </c>
      <c r="U99" s="14">
        <v>195.5190827900918</v>
      </c>
      <c r="V99" s="18"/>
      <c r="W99" s="18"/>
      <c r="X99" s="18"/>
      <c r="Y99" s="18"/>
      <c r="Z99" s="18"/>
      <c r="AA99" s="14" t="str">
        <f>IF(AND(D99&lt;&gt;"EV",D99&lt;&gt;"Diesel"),"Invalid vehicle",IF(COUNTIFS(Routes[Corridor],E99,Routes[Direction],F99)=0,"Unknown route",IF(C99="","Missing date",IF(SUM(O99:U99)&lt;=0,"No distance","OK"))))</f>
        <v>OK</v>
      </c>
      <c r="AB99" s="17">
        <f t="shared" si="114"/>
        <v>46266</v>
      </c>
      <c r="AC99" s="14">
        <f>--(COUNTIFS($C$5:C99,C99,$D$5:D99,D99,$G$5:G99,G99,$F$5:F99,F99)=1)</f>
        <v>0</v>
      </c>
      <c r="AD99" s="14">
        <f t="shared" si="93"/>
        <v>0</v>
      </c>
      <c r="AE99" s="14">
        <f t="shared" si="94"/>
        <v>1</v>
      </c>
      <c r="AF99" s="14">
        <f t="shared" si="115"/>
        <v>0</v>
      </c>
      <c r="AG99" s="14">
        <f>SUMIFS(Routes[Net elevation (m)],Routes[Corridor],E99,Routes[Direction],F99)</f>
        <v>-880</v>
      </c>
      <c r="AH99" s="14">
        <f t="shared" si="95"/>
        <v>16500</v>
      </c>
      <c r="AI99" s="14">
        <f t="shared" si="96"/>
        <v>0.25</v>
      </c>
      <c r="AJ99" s="14">
        <f t="shared" si="97"/>
        <v>8.1</v>
      </c>
      <c r="AK99" s="14">
        <f t="shared" si="116"/>
        <v>325.39890709550616</v>
      </c>
      <c r="AL99" s="14">
        <f t="shared" si="117"/>
        <v>6.8455555555555545</v>
      </c>
      <c r="AM99" s="14">
        <f t="shared" si="118"/>
        <v>6.8455555555555545</v>
      </c>
      <c r="AN99" s="14">
        <f t="shared" si="119"/>
        <v>1.608611111111111</v>
      </c>
      <c r="AO99" s="14">
        <f t="shared" si="120"/>
        <v>5.2369444444444442</v>
      </c>
      <c r="AP99" s="14">
        <f t="shared" si="121"/>
        <v>62.048170909885918</v>
      </c>
      <c r="AQ99" s="14">
        <f t="shared" si="122"/>
        <v>5.6210341363123106</v>
      </c>
      <c r="AR99" s="14">
        <f t="shared" si="123"/>
        <v>55.807710189117074</v>
      </c>
      <c r="AS99" s="14">
        <f t="shared" si="124"/>
        <v>57.624893425045094</v>
      </c>
      <c r="AT99" s="14">
        <f t="shared" si="125"/>
        <v>68.489704976581748</v>
      </c>
      <c r="AU99" s="14">
        <f t="shared" si="98"/>
        <v>161.05239442721376</v>
      </c>
      <c r="AV99" s="14">
        <f t="shared" si="99"/>
        <v>31.025492961238808</v>
      </c>
      <c r="AW99" s="14">
        <f t="shared" si="126"/>
        <v>81.602628087292885</v>
      </c>
      <c r="AX99" s="14">
        <f t="shared" si="100"/>
        <v>-39.567</v>
      </c>
      <c r="AY99" s="14">
        <f t="shared" si="127"/>
        <v>161.05239442721376</v>
      </c>
      <c r="AZ99" s="14">
        <f t="shared" si="101"/>
        <v>-19.7835</v>
      </c>
      <c r="BA99" s="14">
        <f t="shared" si="102"/>
        <v>70.360635126054078</v>
      </c>
      <c r="BB99" s="14">
        <f t="shared" si="128"/>
        <v>222.87152251450664</v>
      </c>
      <c r="BC99" s="14">
        <f t="shared" si="103"/>
        <v>268.73035812926588</v>
      </c>
      <c r="BD99" s="14">
        <f t="shared" si="104"/>
        <v>55.448999999999991</v>
      </c>
      <c r="BE99" s="14">
        <f t="shared" si="105"/>
        <v>0</v>
      </c>
      <c r="BF99" s="14">
        <f t="shared" si="106"/>
        <v>35.012155645075765</v>
      </c>
      <c r="BG99" s="14">
        <f t="shared" si="129"/>
        <v>289.16720248419011</v>
      </c>
      <c r="BH99" s="14" t="str">
        <f t="shared" si="107"/>
        <v/>
      </c>
      <c r="BI99" s="14">
        <f t="shared" si="108"/>
        <v>1</v>
      </c>
      <c r="BJ99" s="14">
        <f t="shared" si="130"/>
        <v>289.16720248419011</v>
      </c>
      <c r="BK99" s="14">
        <f t="shared" si="109"/>
        <v>1041.0019289430845</v>
      </c>
      <c r="BL99" s="14" t="str">
        <f t="shared" si="110"/>
        <v/>
      </c>
      <c r="BM99" s="14">
        <f t="shared" si="111"/>
        <v>314.31217661325013</v>
      </c>
      <c r="BN99" s="14">
        <f t="shared" si="131"/>
        <v>0.8886544981520732</v>
      </c>
      <c r="BO99" s="14">
        <f t="shared" si="132"/>
        <v>1.1252967290206328</v>
      </c>
      <c r="BP99" s="14" t="str">
        <f t="shared" si="133"/>
        <v/>
      </c>
      <c r="BQ99" s="22">
        <f t="shared" si="134"/>
        <v>0.77073582550113673</v>
      </c>
      <c r="BR99" s="14">
        <f t="shared" si="112"/>
        <v>2985.9656778258764</v>
      </c>
      <c r="BS99" s="14">
        <f t="shared" si="113"/>
        <v>223.16164539540759</v>
      </c>
      <c r="BT99" s="14">
        <f t="shared" si="135"/>
        <v>9.1763236222224958</v>
      </c>
      <c r="BU99" s="14">
        <f t="shared" si="136"/>
        <v>0.68580944966083912</v>
      </c>
      <c r="BV99" s="22" t="str">
        <f t="shared" si="137"/>
        <v/>
      </c>
      <c r="BW99" s="14" t="e">
        <f t="shared" si="138"/>
        <v>#N/A</v>
      </c>
      <c r="BX99" s="14" t="e">
        <f t="shared" si="139"/>
        <v>#N/A</v>
      </c>
    </row>
    <row r="100" spans="1:76" x14ac:dyDescent="0.25">
      <c r="A100" s="12" t="s">
        <v>554</v>
      </c>
      <c r="B100" s="12" t="s">
        <v>269</v>
      </c>
      <c r="C100" s="15">
        <v>46285</v>
      </c>
      <c r="D100" s="12" t="s">
        <v>457</v>
      </c>
      <c r="E100" s="12" t="s">
        <v>531</v>
      </c>
      <c r="F100" s="12" t="s">
        <v>541</v>
      </c>
      <c r="G100" s="16">
        <v>0.5100810185185185</v>
      </c>
      <c r="H100" s="14">
        <v>0</v>
      </c>
      <c r="I100" s="14">
        <v>35.4</v>
      </c>
      <c r="J100" s="14">
        <v>6.3166666666666664</v>
      </c>
      <c r="K100" s="14">
        <v>10.35</v>
      </c>
      <c r="L100" s="14">
        <v>65.8</v>
      </c>
      <c r="M100" s="14">
        <v>46.880533333333332</v>
      </c>
      <c r="N100" s="14">
        <v>183.4</v>
      </c>
      <c r="O100" s="14">
        <v>0</v>
      </c>
      <c r="P100" s="14">
        <v>0.45036794227206151</v>
      </c>
      <c r="Q100" s="14">
        <v>6.3170939991916364E-2</v>
      </c>
      <c r="R100" s="14">
        <v>0.91605902538235162</v>
      </c>
      <c r="S100" s="14">
        <v>59.818804156881647</v>
      </c>
      <c r="T100" s="14">
        <v>44.251155441805381</v>
      </c>
      <c r="U100" s="14">
        <v>219.38476491375911</v>
      </c>
      <c r="V100" s="18"/>
      <c r="W100" s="18"/>
      <c r="X100" s="18"/>
      <c r="Y100" s="18"/>
      <c r="Z100" s="18"/>
      <c r="AA100" s="14" t="str">
        <f>IF(AND(D100&lt;&gt;"EV",D100&lt;&gt;"Diesel"),"Invalid vehicle",IF(COUNTIFS(Routes[Corridor],E100,Routes[Direction],F100)=0,"Unknown route",IF(C100="","Missing date",IF(SUM(O100:U100)&lt;=0,"No distance","OK"))))</f>
        <v>OK</v>
      </c>
      <c r="AB100" s="17">
        <f t="shared" si="114"/>
        <v>46266</v>
      </c>
      <c r="AC100" s="14">
        <f>--(COUNTIFS($C$5:C100,C100,$D$5:D100,D100,$G$5:G100,G100,$F$5:F100,F100)=1)</f>
        <v>1</v>
      </c>
      <c r="AD100" s="14">
        <f t="shared" si="93"/>
        <v>0</v>
      </c>
      <c r="AE100" s="14">
        <f t="shared" si="94"/>
        <v>1</v>
      </c>
      <c r="AF100" s="14">
        <f t="shared" si="115"/>
        <v>0</v>
      </c>
      <c r="AG100" s="14">
        <f>SUMIFS(Routes[Net elevation (m)],Routes[Corridor],E100,Routes[Direction],F100)</f>
        <v>-880</v>
      </c>
      <c r="AH100" s="14">
        <f t="shared" si="95"/>
        <v>14500</v>
      </c>
      <c r="AI100" s="14">
        <f t="shared" si="96"/>
        <v>0.25</v>
      </c>
      <c r="AJ100" s="14">
        <f t="shared" si="97"/>
        <v>8.1</v>
      </c>
      <c r="AK100" s="14">
        <f t="shared" si="116"/>
        <v>324.88432242009247</v>
      </c>
      <c r="AL100" s="14">
        <f t="shared" si="117"/>
        <v>5.8024533333333332</v>
      </c>
      <c r="AM100" s="14">
        <f t="shared" si="118"/>
        <v>5.8024533333333332</v>
      </c>
      <c r="AN100" s="14">
        <f t="shared" si="119"/>
        <v>0.69527777777777777</v>
      </c>
      <c r="AO100" s="14">
        <f t="shared" si="120"/>
        <v>5.1071755555555551</v>
      </c>
      <c r="AP100" s="14">
        <f t="shared" si="121"/>
        <v>63.512753773458975</v>
      </c>
      <c r="AQ100" s="14">
        <f t="shared" si="122"/>
        <v>5.3104871036658068</v>
      </c>
      <c r="AR100" s="14">
        <f t="shared" si="123"/>
        <v>54.546022027551651</v>
      </c>
      <c r="AS100" s="14">
        <f t="shared" si="124"/>
        <v>56.634793542770907</v>
      </c>
      <c r="AT100" s="14">
        <f t="shared" si="125"/>
        <v>71.772551225875389</v>
      </c>
      <c r="AU100" s="14">
        <f t="shared" si="98"/>
        <v>165.78927250020018</v>
      </c>
      <c r="AV100" s="14">
        <f t="shared" si="99"/>
        <v>21.806034552141558</v>
      </c>
      <c r="AW100" s="14">
        <f t="shared" si="126"/>
        <v>60.234212519082213</v>
      </c>
      <c r="AX100" s="14">
        <f t="shared" si="100"/>
        <v>-34.771000000000001</v>
      </c>
      <c r="AY100" s="14">
        <f t="shared" si="127"/>
        <v>165.78927250020018</v>
      </c>
      <c r="AZ100" s="14">
        <f t="shared" si="101"/>
        <v>-17.3855</v>
      </c>
      <c r="BA100" s="14">
        <f t="shared" si="102"/>
        <v>55.813677966940652</v>
      </c>
      <c r="BB100" s="14">
        <f t="shared" si="128"/>
        <v>208.63798501928238</v>
      </c>
      <c r="BC100" s="14">
        <f t="shared" si="103"/>
        <v>647.94405285491416</v>
      </c>
      <c r="BD100" s="14">
        <f t="shared" si="104"/>
        <v>118.19463428571427</v>
      </c>
      <c r="BE100" s="14">
        <f t="shared" si="105"/>
        <v>17.333661265432095</v>
      </c>
      <c r="BF100" s="14">
        <f t="shared" si="106"/>
        <v>0</v>
      </c>
      <c r="BG100" s="14">
        <f t="shared" si="129"/>
        <v>783.47234840606052</v>
      </c>
      <c r="BH100" s="14" t="str">
        <f t="shared" si="107"/>
        <v/>
      </c>
      <c r="BI100" s="14">
        <f t="shared" si="108"/>
        <v>1</v>
      </c>
      <c r="BJ100" s="14">
        <f t="shared" si="130"/>
        <v>783.47234840606052</v>
      </c>
      <c r="BK100" s="14">
        <f t="shared" si="109"/>
        <v>2820.500454261818</v>
      </c>
      <c r="BL100" s="14">
        <f t="shared" si="110"/>
        <v>78.565472263560395</v>
      </c>
      <c r="BM100" s="14" t="str">
        <f t="shared" si="111"/>
        <v/>
      </c>
      <c r="BN100" s="14">
        <f t="shared" si="131"/>
        <v>2.4115424917087553</v>
      </c>
      <c r="BO100" s="14">
        <f t="shared" si="132"/>
        <v>0.41467235325031587</v>
      </c>
      <c r="BP100" s="14">
        <f t="shared" si="133"/>
        <v>4.1352048560239831</v>
      </c>
      <c r="BQ100" s="22">
        <f t="shared" si="134"/>
        <v>0.2662991048040777</v>
      </c>
      <c r="BR100" s="14">
        <f t="shared" si="112"/>
        <v>7228.0234482475562</v>
      </c>
      <c r="BS100" s="14">
        <f t="shared" si="113"/>
        <v>210.55546566634186</v>
      </c>
      <c r="BT100" s="14">
        <f t="shared" si="135"/>
        <v>22.247990898438438</v>
      </c>
      <c r="BU100" s="14">
        <f t="shared" si="136"/>
        <v>0.64809364791103274</v>
      </c>
      <c r="BV100" s="22" t="str">
        <f t="shared" si="137"/>
        <v/>
      </c>
      <c r="BW100" s="14" t="e">
        <f t="shared" si="138"/>
        <v>#N/A</v>
      </c>
      <c r="BX100" s="14" t="e">
        <f t="shared" si="139"/>
        <v>#N/A</v>
      </c>
    </row>
    <row r="101" spans="1:76" x14ac:dyDescent="0.25">
      <c r="A101" s="12" t="s">
        <v>555</v>
      </c>
      <c r="B101" s="12" t="s">
        <v>273</v>
      </c>
      <c r="C101" s="15">
        <v>46285</v>
      </c>
      <c r="D101" s="12" t="s">
        <v>300</v>
      </c>
      <c r="E101" s="12" t="s">
        <v>531</v>
      </c>
      <c r="F101" s="12" t="s">
        <v>541</v>
      </c>
      <c r="G101" s="16">
        <v>0.47643518518518518</v>
      </c>
      <c r="H101" s="14">
        <v>0</v>
      </c>
      <c r="I101" s="14">
        <v>65.983333333333334</v>
      </c>
      <c r="J101" s="14">
        <v>30.533333333333331</v>
      </c>
      <c r="K101" s="14">
        <v>6.3</v>
      </c>
      <c r="L101" s="14">
        <v>75.514616666666669</v>
      </c>
      <c r="M101" s="14">
        <v>59.383333333333333</v>
      </c>
      <c r="N101" s="14">
        <v>170.0333333333333</v>
      </c>
      <c r="O101" s="14">
        <v>0</v>
      </c>
      <c r="P101" s="14">
        <v>0.24021946013287521</v>
      </c>
      <c r="Q101" s="14">
        <v>0.21586370090681031</v>
      </c>
      <c r="R101" s="14">
        <v>0.59248667710547542</v>
      </c>
      <c r="S101" s="14">
        <v>70.784207486832642</v>
      </c>
      <c r="T101" s="14">
        <v>57.217170971545229</v>
      </c>
      <c r="U101" s="14">
        <v>194.703693789026</v>
      </c>
      <c r="V101" s="18"/>
      <c r="W101" s="18"/>
      <c r="X101" s="18"/>
      <c r="Y101" s="18"/>
      <c r="Z101" s="18"/>
      <c r="AA101" s="14" t="str">
        <f>IF(AND(D101&lt;&gt;"EV",D101&lt;&gt;"Diesel"),"Invalid vehicle",IF(COUNTIFS(Routes[Corridor],E101,Routes[Direction],F101)=0,"Unknown route",IF(C101="","Missing date",IF(SUM(O101:U101)&lt;=0,"No distance","OK"))))</f>
        <v>OK</v>
      </c>
      <c r="AB101" s="17">
        <f t="shared" si="114"/>
        <v>46266</v>
      </c>
      <c r="AC101" s="14">
        <f>--(COUNTIFS($C$5:C101,C101,$D$5:D101,D101,$G$5:G101,G101,$F$5:F101,F101)=1)</f>
        <v>0</v>
      </c>
      <c r="AD101" s="14">
        <f t="shared" ref="AD101:AD132" si="140">--AND(AA101="OK",OR(TAT_Sel_Basis="All pair instances",AC101=1),OR(TAT_Sel_Corridor="All",E101=TAT_Sel_Corridor),OR(TAT_Sel_DirEff="All",F101=TAT_Sel_DirEff))</f>
        <v>0</v>
      </c>
      <c r="AE101" s="14">
        <f t="shared" ref="AE101:AE112" si="141">--AND(AA101="OK",OR(TAT_Sel_Basis="All pair instances",AC101=1),OR(TAT_Sel_Month="All",TEXT(AB101,"mmm yyyy")=TAT_Sel_Month))</f>
        <v>1</v>
      </c>
      <c r="AF101" s="14">
        <f t="shared" si="115"/>
        <v>0</v>
      </c>
      <c r="AG101" s="14">
        <f>SUMIFS(Routes[Net elevation (m)],Routes[Corridor],E101,Routes[Direction],F101)</f>
        <v>-880</v>
      </c>
      <c r="AH101" s="14">
        <f t="shared" ref="AH101:AH112" si="142">IF(D101="EV",TAT_Kerb_EV,TAT_Kerb_D)+IF(V101="",TAT_Pax_Default,V101)*TAT_Pax_Mass</f>
        <v>16500</v>
      </c>
      <c r="AI101" s="14">
        <f t="shared" ref="AI101:AI112" si="143">IF(X101="",IF(D101="EV",TAT_Acc_EV,TAT_Acc_D),X101)</f>
        <v>0.25</v>
      </c>
      <c r="AJ101" s="14">
        <f t="shared" ref="AJ101:AJ112" si="144">IF(D101="EV",TAT_AuxBase_EV,TAT_AuxBase_D)+TAT_HVAC_k*MAX(0,IF(W101="",TAT_Temp_Default,W101)-TAT_HVAC_Tset)</f>
        <v>8.1</v>
      </c>
      <c r="AK101" s="14">
        <f t="shared" si="116"/>
        <v>323.75364208554902</v>
      </c>
      <c r="AL101" s="14">
        <f t="shared" si="117"/>
        <v>6.7957991666666659</v>
      </c>
      <c r="AM101" s="14">
        <f t="shared" si="118"/>
        <v>6.7957991666666659</v>
      </c>
      <c r="AN101" s="14">
        <f t="shared" si="119"/>
        <v>1.608611111111111</v>
      </c>
      <c r="AO101" s="14">
        <f t="shared" si="120"/>
        <v>5.1871880555555547</v>
      </c>
      <c r="AP101" s="14">
        <f t="shared" si="121"/>
        <v>62.326168911160423</v>
      </c>
      <c r="AQ101" s="14">
        <f t="shared" si="122"/>
        <v>5.6427302581473855</v>
      </c>
      <c r="AR101" s="14">
        <f t="shared" si="123"/>
        <v>56.24146207292705</v>
      </c>
      <c r="AS101" s="14">
        <f t="shared" si="124"/>
        <v>57.811343109054967</v>
      </c>
      <c r="AT101" s="14">
        <f t="shared" si="125"/>
        <v>68.705479086502038</v>
      </c>
      <c r="AU101" s="14">
        <f t="shared" ref="AU101:AU132" si="145">(IF(D101="EV",TAT_Crr_EV,TAT_Crr_D)*AH101*TAT_G_acc*(AK101-T101)+IF(D101="EV",TAT_Kaero_EV,TAT_Kaero_D)*((AQ101/3.6)^2*R101+(AR101/3.6)^2*S101+(AT101/3.6)^2*U101))/3600</f>
        <v>160.92960258041185</v>
      </c>
      <c r="AV101" s="14">
        <f t="shared" ref="AV101:AV112" si="146">(IF(D101="EV",TAT_Crr_EV,TAT_Crr_D)*AH101*TAT_G_acc+IF(D101="EV",TAT_Kaero_EV,TAT_Kaero_D)*(AS101/3.6)^2)*T101/3600</f>
        <v>30.897537565577785</v>
      </c>
      <c r="AW101" s="14">
        <f t="shared" si="126"/>
        <v>81.106904411995728</v>
      </c>
      <c r="AX101" s="14">
        <f t="shared" ref="AX101:AX112" si="147">AH101*TAT_G_acc*AG101/3600000</f>
        <v>-39.567</v>
      </c>
      <c r="AY101" s="14">
        <f t="shared" si="127"/>
        <v>160.92960258041185</v>
      </c>
      <c r="AZ101" s="14">
        <f t="shared" ref="AZ101:AZ112" si="148">MAX(0,AX101)-TAT_Descent_Share*MAX(0,-AX101)</f>
        <v>-19.7835</v>
      </c>
      <c r="BA101" s="14">
        <f t="shared" ref="BA101:BA112" si="149">MAX(0,AW101-AV101)+(1-TAT_Descent_Share)*MAX(0,-AX101)</f>
        <v>69.99286684641794</v>
      </c>
      <c r="BB101" s="14">
        <f t="shared" si="128"/>
        <v>222.25300699240756</v>
      </c>
      <c r="BC101" s="14">
        <f t="shared" ref="BC101:BC132" si="150">BB101/IF(D101="EV",TAT_EtaPT_EV,TAT_EtaPT_D)</f>
        <v>267.98457465775317</v>
      </c>
      <c r="BD101" s="14">
        <f t="shared" ref="BD101:BD112" si="151">IF(D101="EV",AJ101*AM101,AJ101*AO101/TAT_EtaEng_D)</f>
        <v>55.045973249999989</v>
      </c>
      <c r="BE101" s="14">
        <f t="shared" ref="BE101:BE112" si="152">IF(D101="EV",0,TAT_IdleFuel_D*AN101*TAT_LHV_kWhL)</f>
        <v>0</v>
      </c>
      <c r="BF101" s="14">
        <f t="shared" ref="BF101:BF112" si="153">IF(D101="EV",TAT_Regen_EV*TAT_EtaPT_EV*BA101,0)</f>
        <v>34.829150471446027</v>
      </c>
      <c r="BG101" s="14">
        <f t="shared" si="129"/>
        <v>288.2013974363071</v>
      </c>
      <c r="BH101" s="14" t="str">
        <f t="shared" ref="BH101:BH112" si="154">IF(D101="EV",IF(Y101="","",Y101),IF(Z101="","",Z101*TAT_LHV_kWhL))</f>
        <v/>
      </c>
      <c r="BI101" s="14">
        <f t="shared" ref="BI101:BI112" si="155">IF(TAT_Cal_Apply="Yes",IF(D101="EV",TAT_CF_EV,TAT_CF_D),1)</f>
        <v>1</v>
      </c>
      <c r="BJ101" s="14">
        <f t="shared" si="130"/>
        <v>288.2013974363071</v>
      </c>
      <c r="BK101" s="14">
        <f t="shared" si="109"/>
        <v>1037.5250307707056</v>
      </c>
      <c r="BL101" s="14" t="str">
        <f t="shared" ref="BL101:BL112" si="156">IF(D101="EV","",BJ101/TAT_LHV_kWhL)</f>
        <v/>
      </c>
      <c r="BM101" s="14">
        <f t="shared" ref="BM101:BM112" si="157">IF(D101="EV",BJ101/TAT_EtaCharger,"")</f>
        <v>313.26238851772507</v>
      </c>
      <c r="BN101" s="14">
        <f t="shared" si="131"/>
        <v>0.89018735227124468</v>
      </c>
      <c r="BO101" s="14">
        <f t="shared" si="132"/>
        <v>1.1233590293645228</v>
      </c>
      <c r="BP101" s="14" t="str">
        <f t="shared" si="133"/>
        <v/>
      </c>
      <c r="BQ101" s="22">
        <f t="shared" si="134"/>
        <v>0.77117255144998309</v>
      </c>
      <c r="BR101" s="14">
        <f t="shared" ref="BR101:BR112" si="158">IF(D101="EV",BM101*TAT_Tariff_EV,BL101*TAT_Price_Diesel)</f>
        <v>2975.9926909183882</v>
      </c>
      <c r="BS101" s="14">
        <f t="shared" ref="BS101:BS112" si="159">IF(D101="EV",BM101*TAT_EF_Grid,BL101*TAT_EF_Diesel)</f>
        <v>222.41629584758479</v>
      </c>
      <c r="BT101" s="14">
        <f t="shared" si="135"/>
        <v>9.1921520071487208</v>
      </c>
      <c r="BU101" s="14">
        <f t="shared" si="136"/>
        <v>0.6869924131658518</v>
      </c>
      <c r="BV101" s="22" t="str">
        <f t="shared" si="137"/>
        <v/>
      </c>
      <c r="BW101" s="14" t="e">
        <f t="shared" si="138"/>
        <v>#N/A</v>
      </c>
      <c r="BX101" s="14" t="e">
        <f t="shared" si="139"/>
        <v>#N/A</v>
      </c>
    </row>
    <row r="102" spans="1:76" x14ac:dyDescent="0.25">
      <c r="A102" s="12" t="s">
        <v>556</v>
      </c>
      <c r="B102" s="12" t="s">
        <v>273</v>
      </c>
      <c r="C102" s="15">
        <v>46298</v>
      </c>
      <c r="D102" s="12" t="s">
        <v>457</v>
      </c>
      <c r="E102" s="12" t="s">
        <v>531</v>
      </c>
      <c r="F102" s="12" t="s">
        <v>541</v>
      </c>
      <c r="G102" s="16">
        <v>0.92133101851851851</v>
      </c>
      <c r="H102" s="14">
        <v>0</v>
      </c>
      <c r="I102" s="14">
        <v>20.633333333333329</v>
      </c>
      <c r="J102" s="14">
        <v>2.666666666666667</v>
      </c>
      <c r="K102" s="14">
        <v>5.0166666666666666</v>
      </c>
      <c r="L102" s="14">
        <v>43.1</v>
      </c>
      <c r="M102" s="14">
        <v>32.116666666666667</v>
      </c>
      <c r="N102" s="14">
        <v>242.5133166666667</v>
      </c>
      <c r="O102" s="14">
        <v>0</v>
      </c>
      <c r="P102" s="14">
        <v>0.4185697978984132</v>
      </c>
      <c r="Q102" s="14">
        <v>0.428265735708522</v>
      </c>
      <c r="R102" s="14">
        <v>0.46660244135921242</v>
      </c>
      <c r="S102" s="14">
        <v>35.974181316756393</v>
      </c>
      <c r="T102" s="14">
        <v>28.82664857731616</v>
      </c>
      <c r="U102" s="14">
        <v>258.01087185827743</v>
      </c>
      <c r="V102" s="18"/>
      <c r="W102" s="18"/>
      <c r="X102" s="18"/>
      <c r="Y102" s="18"/>
      <c r="Z102" s="18"/>
      <c r="AA102" s="14" t="str">
        <f>IF(AND(D102&lt;&gt;"EV",D102&lt;&gt;"Diesel"),"Invalid vehicle",IF(COUNTIFS(Routes[Corridor],E102,Routes[Direction],F102)=0,"Unknown route",IF(C102="","Missing date",IF(SUM(O102:U102)&lt;=0,"No distance","OK"))))</f>
        <v>OK</v>
      </c>
      <c r="AB102" s="17">
        <f t="shared" si="114"/>
        <v>46296</v>
      </c>
      <c r="AC102" s="14">
        <f>--(COUNTIFS($C$5:C102,C102,$D$5:D102,D102,$G$5:G102,G102,$F$5:F102,F102)=1)</f>
        <v>1</v>
      </c>
      <c r="AD102" s="14">
        <f t="shared" si="140"/>
        <v>0</v>
      </c>
      <c r="AE102" s="14">
        <f t="shared" si="141"/>
        <v>1</v>
      </c>
      <c r="AF102" s="14">
        <f t="shared" si="115"/>
        <v>0</v>
      </c>
      <c r="AG102" s="14">
        <f>SUMIFS(Routes[Net elevation (m)],Routes[Corridor],E102,Routes[Direction],F102)</f>
        <v>-880</v>
      </c>
      <c r="AH102" s="14">
        <f t="shared" si="142"/>
        <v>14500</v>
      </c>
      <c r="AI102" s="14">
        <f t="shared" si="143"/>
        <v>0.25</v>
      </c>
      <c r="AJ102" s="14">
        <f t="shared" si="144"/>
        <v>8.1</v>
      </c>
      <c r="AK102" s="14">
        <f t="shared" si="116"/>
        <v>324.12513972731614</v>
      </c>
      <c r="AL102" s="14">
        <f t="shared" si="117"/>
        <v>5.7674441666666665</v>
      </c>
      <c r="AM102" s="14">
        <f t="shared" si="118"/>
        <v>5.7674441666666665</v>
      </c>
      <c r="AN102" s="14">
        <f t="shared" si="119"/>
        <v>0.38833333333333331</v>
      </c>
      <c r="AO102" s="14">
        <f t="shared" si="120"/>
        <v>5.3791108333333337</v>
      </c>
      <c r="AP102" s="14">
        <f t="shared" si="121"/>
        <v>60.09883681712126</v>
      </c>
      <c r="AQ102" s="14">
        <f t="shared" si="122"/>
        <v>5.5806272056251318</v>
      </c>
      <c r="AR102" s="14">
        <f t="shared" si="123"/>
        <v>50.08006679826876</v>
      </c>
      <c r="AS102" s="14">
        <f t="shared" si="124"/>
        <v>53.853624742261644</v>
      </c>
      <c r="AT102" s="14">
        <f t="shared" si="125"/>
        <v>63.834236091763671</v>
      </c>
      <c r="AU102" s="14">
        <f t="shared" si="145"/>
        <v>158.62069055047482</v>
      </c>
      <c r="AV102" s="14">
        <f t="shared" si="146"/>
        <v>13.608114424638353</v>
      </c>
      <c r="AW102" s="14">
        <f t="shared" si="126"/>
        <v>36.224002020344983</v>
      </c>
      <c r="AX102" s="14">
        <f t="shared" si="147"/>
        <v>-34.771000000000001</v>
      </c>
      <c r="AY102" s="14">
        <f t="shared" si="127"/>
        <v>158.62069055047482</v>
      </c>
      <c r="AZ102" s="14">
        <f t="shared" si="148"/>
        <v>-17.3855</v>
      </c>
      <c r="BA102" s="14">
        <f t="shared" si="149"/>
        <v>40.001387595706632</v>
      </c>
      <c r="BB102" s="14">
        <f t="shared" si="128"/>
        <v>177.45919257081979</v>
      </c>
      <c r="BC102" s="14">
        <f t="shared" si="150"/>
        <v>551.11550487832233</v>
      </c>
      <c r="BD102" s="14">
        <f t="shared" si="151"/>
        <v>124.48799357142859</v>
      </c>
      <c r="BE102" s="14">
        <f t="shared" si="152"/>
        <v>9.6813657407407394</v>
      </c>
      <c r="BF102" s="14">
        <f t="shared" si="153"/>
        <v>0</v>
      </c>
      <c r="BG102" s="14">
        <f t="shared" si="129"/>
        <v>685.28486419049159</v>
      </c>
      <c r="BH102" s="14" t="str">
        <f t="shared" si="154"/>
        <v/>
      </c>
      <c r="BI102" s="14">
        <f t="shared" si="155"/>
        <v>1</v>
      </c>
      <c r="BJ102" s="14">
        <f t="shared" si="130"/>
        <v>685.28486419049159</v>
      </c>
      <c r="BK102" s="14">
        <f t="shared" si="109"/>
        <v>2467.0255110857697</v>
      </c>
      <c r="BL102" s="14">
        <f t="shared" si="156"/>
        <v>68.719373567848749</v>
      </c>
      <c r="BM102" s="14" t="str">
        <f t="shared" si="157"/>
        <v/>
      </c>
      <c r="BN102" s="14">
        <f t="shared" si="131"/>
        <v>2.1142601427554069</v>
      </c>
      <c r="BO102" s="14">
        <f t="shared" si="132"/>
        <v>0.47297869348128152</v>
      </c>
      <c r="BP102" s="14">
        <f t="shared" si="133"/>
        <v>4.7166486377716677</v>
      </c>
      <c r="BQ102" s="22">
        <f t="shared" si="134"/>
        <v>0.2589568248825217</v>
      </c>
      <c r="BR102" s="14">
        <f t="shared" si="158"/>
        <v>6322.1823682420845</v>
      </c>
      <c r="BS102" s="14">
        <f t="shared" si="159"/>
        <v>184.16792116183467</v>
      </c>
      <c r="BT102" s="14">
        <f t="shared" si="135"/>
        <v>19.505374910322864</v>
      </c>
      <c r="BU102" s="14">
        <f t="shared" si="136"/>
        <v>0.56820005173549215</v>
      </c>
      <c r="BV102" s="22" t="str">
        <f t="shared" si="137"/>
        <v/>
      </c>
      <c r="BW102" s="14" t="e">
        <f t="shared" si="138"/>
        <v>#N/A</v>
      </c>
      <c r="BX102" s="14" t="e">
        <f t="shared" si="139"/>
        <v>#N/A</v>
      </c>
    </row>
    <row r="103" spans="1:76" x14ac:dyDescent="0.25">
      <c r="A103" s="12" t="s">
        <v>557</v>
      </c>
      <c r="B103" s="12" t="s">
        <v>277</v>
      </c>
      <c r="C103" s="15">
        <v>46298</v>
      </c>
      <c r="D103" s="12" t="s">
        <v>300</v>
      </c>
      <c r="E103" s="12" t="s">
        <v>531</v>
      </c>
      <c r="F103" s="12" t="s">
        <v>541</v>
      </c>
      <c r="G103" s="16">
        <v>0.91612268518518514</v>
      </c>
      <c r="H103" s="14">
        <v>34.833333333333343</v>
      </c>
      <c r="I103" s="14">
        <v>58.166666666666657</v>
      </c>
      <c r="J103" s="14">
        <v>21.679983333333329</v>
      </c>
      <c r="K103" s="14">
        <v>8.0833333333333339</v>
      </c>
      <c r="L103" s="14">
        <v>65.966666666666669</v>
      </c>
      <c r="M103" s="14">
        <v>54.8</v>
      </c>
      <c r="N103" s="14">
        <v>177.1166666666667</v>
      </c>
      <c r="O103" s="14">
        <v>8.8935996553685642E-2</v>
      </c>
      <c r="P103" s="14">
        <v>0.32793162569742029</v>
      </c>
      <c r="Q103" s="14">
        <v>7.129119195051567E-2</v>
      </c>
      <c r="R103" s="14">
        <v>0.58798551523868015</v>
      </c>
      <c r="S103" s="14">
        <v>64.436710906579819</v>
      </c>
      <c r="T103" s="14">
        <v>54.476327256366737</v>
      </c>
      <c r="U103" s="14">
        <v>206.47677975070661</v>
      </c>
      <c r="V103" s="18"/>
      <c r="W103" s="18"/>
      <c r="X103" s="18"/>
      <c r="Y103" s="18"/>
      <c r="Z103" s="18"/>
      <c r="AA103" s="14" t="str">
        <f>IF(AND(D103&lt;&gt;"EV",D103&lt;&gt;"Diesel"),"Invalid vehicle",IF(COUNTIFS(Routes[Corridor],E103,Routes[Direction],F103)=0,"Unknown route",IF(C103="","Missing date",IF(SUM(O103:U103)&lt;=0,"No distance","OK"))))</f>
        <v>OK</v>
      </c>
      <c r="AB103" s="17">
        <f t="shared" si="114"/>
        <v>46296</v>
      </c>
      <c r="AC103" s="14">
        <f>--(COUNTIFS($C$5:C103,C103,$D$5:D103,D103,$G$5:G103,G103,$F$5:F103,F103)=1)</f>
        <v>1</v>
      </c>
      <c r="AD103" s="14">
        <f t="shared" si="140"/>
        <v>0</v>
      </c>
      <c r="AE103" s="14">
        <f t="shared" si="141"/>
        <v>1</v>
      </c>
      <c r="AF103" s="14">
        <f t="shared" si="115"/>
        <v>0</v>
      </c>
      <c r="AG103" s="14">
        <f>SUMIFS(Routes[Net elevation (m)],Routes[Corridor],E103,Routes[Direction],F103)</f>
        <v>-880</v>
      </c>
      <c r="AH103" s="14">
        <f t="shared" si="142"/>
        <v>16500</v>
      </c>
      <c r="AI103" s="14">
        <f t="shared" si="143"/>
        <v>0.25</v>
      </c>
      <c r="AJ103" s="14">
        <f t="shared" si="144"/>
        <v>8.1</v>
      </c>
      <c r="AK103" s="14">
        <f t="shared" si="116"/>
        <v>326.46596224309349</v>
      </c>
      <c r="AL103" s="14">
        <f t="shared" si="117"/>
        <v>7.0107775000000006</v>
      </c>
      <c r="AM103" s="14">
        <f t="shared" si="118"/>
        <v>6.4302219444444439</v>
      </c>
      <c r="AN103" s="14">
        <f t="shared" si="119"/>
        <v>1.3307774999999997</v>
      </c>
      <c r="AO103" s="14">
        <f t="shared" si="120"/>
        <v>5.0994444444444449</v>
      </c>
      <c r="AP103" s="14">
        <f t="shared" si="121"/>
        <v>63.924179776882596</v>
      </c>
      <c r="AQ103" s="14">
        <f t="shared" si="122"/>
        <v>4.3644285667200995</v>
      </c>
      <c r="AR103" s="14">
        <f t="shared" si="123"/>
        <v>58.608428313210545</v>
      </c>
      <c r="AS103" s="14">
        <f t="shared" si="124"/>
        <v>59.645613784343141</v>
      </c>
      <c r="AT103" s="14">
        <f t="shared" si="125"/>
        <v>69.946024946131899</v>
      </c>
      <c r="AU103" s="14">
        <f t="shared" si="145"/>
        <v>168.61235000122241</v>
      </c>
      <c r="AV103" s="14">
        <f t="shared" si="146"/>
        <v>30.208551624394048</v>
      </c>
      <c r="AW103" s="14">
        <f t="shared" si="126"/>
        <v>73.833731247122714</v>
      </c>
      <c r="AX103" s="14">
        <f t="shared" si="147"/>
        <v>-39.567</v>
      </c>
      <c r="AY103" s="14">
        <f t="shared" si="127"/>
        <v>168.61235000122241</v>
      </c>
      <c r="AZ103" s="14">
        <f t="shared" si="148"/>
        <v>-19.7835</v>
      </c>
      <c r="BA103" s="14">
        <f t="shared" si="149"/>
        <v>63.40867962272867</v>
      </c>
      <c r="BB103" s="14">
        <f t="shared" si="128"/>
        <v>222.66258124834513</v>
      </c>
      <c r="BC103" s="14">
        <f t="shared" si="150"/>
        <v>268.47842436648597</v>
      </c>
      <c r="BD103" s="14">
        <f t="shared" si="151"/>
        <v>52.084797749999993</v>
      </c>
      <c r="BE103" s="14">
        <f t="shared" si="152"/>
        <v>0</v>
      </c>
      <c r="BF103" s="14">
        <f t="shared" si="153"/>
        <v>31.552793067066009</v>
      </c>
      <c r="BG103" s="14">
        <f t="shared" si="129"/>
        <v>289.01042904941994</v>
      </c>
      <c r="BH103" s="14" t="str">
        <f t="shared" si="154"/>
        <v/>
      </c>
      <c r="BI103" s="14">
        <f t="shared" si="155"/>
        <v>1</v>
      </c>
      <c r="BJ103" s="14">
        <f t="shared" si="130"/>
        <v>289.01042904941994</v>
      </c>
      <c r="BK103" s="14">
        <f t="shared" si="109"/>
        <v>1040.4375445779119</v>
      </c>
      <c r="BL103" s="14" t="str">
        <f t="shared" si="156"/>
        <v/>
      </c>
      <c r="BM103" s="14">
        <f t="shared" si="157"/>
        <v>314.14177070589125</v>
      </c>
      <c r="BN103" s="14">
        <f t="shared" si="131"/>
        <v>0.88526971407272359</v>
      </c>
      <c r="BO103" s="14">
        <f t="shared" si="132"/>
        <v>1.1295992442794123</v>
      </c>
      <c r="BP103" s="14" t="str">
        <f t="shared" si="133"/>
        <v/>
      </c>
      <c r="BQ103" s="22">
        <f t="shared" si="134"/>
        <v>0.77043095635234149</v>
      </c>
      <c r="BR103" s="14">
        <f t="shared" si="158"/>
        <v>2984.3468217059667</v>
      </c>
      <c r="BS103" s="14">
        <f t="shared" si="159"/>
        <v>223.04065720118277</v>
      </c>
      <c r="BT103" s="14">
        <f t="shared" si="135"/>
        <v>9.1413720474900799</v>
      </c>
      <c r="BU103" s="14">
        <f t="shared" si="136"/>
        <v>0.68319727933873231</v>
      </c>
      <c r="BV103" s="22" t="str">
        <f t="shared" si="137"/>
        <v/>
      </c>
      <c r="BW103" s="14" t="e">
        <f t="shared" si="138"/>
        <v>#N/A</v>
      </c>
      <c r="BX103" s="14" t="e">
        <f t="shared" si="139"/>
        <v>#N/A</v>
      </c>
    </row>
    <row r="104" spans="1:76" x14ac:dyDescent="0.25">
      <c r="A104" s="12" t="s">
        <v>558</v>
      </c>
      <c r="B104" s="12" t="s">
        <v>277</v>
      </c>
      <c r="C104" s="15">
        <v>46285</v>
      </c>
      <c r="D104" s="12" t="s">
        <v>457</v>
      </c>
      <c r="E104" s="12" t="s">
        <v>531</v>
      </c>
      <c r="F104" s="12" t="s">
        <v>541</v>
      </c>
      <c r="G104" s="16">
        <v>0.50900462962962967</v>
      </c>
      <c r="H104" s="14">
        <v>0</v>
      </c>
      <c r="I104" s="14">
        <v>35.4</v>
      </c>
      <c r="J104" s="14">
        <v>6.3166666666666664</v>
      </c>
      <c r="K104" s="14">
        <v>10.68333333333333</v>
      </c>
      <c r="L104" s="14">
        <v>66.099999999999994</v>
      </c>
      <c r="M104" s="14">
        <v>47.533333333333331</v>
      </c>
      <c r="N104" s="14">
        <v>185.7166666666667</v>
      </c>
      <c r="O104" s="14">
        <v>0</v>
      </c>
      <c r="P104" s="14">
        <v>0.45036794227206151</v>
      </c>
      <c r="Q104" s="14">
        <v>6.3170939991916364E-2</v>
      </c>
      <c r="R104" s="14">
        <v>0.93014040423638877</v>
      </c>
      <c r="S104" s="14">
        <v>59.921886497585753</v>
      </c>
      <c r="T104" s="14">
        <v>44.514803191227927</v>
      </c>
      <c r="U104" s="14">
        <v>220.25377341913091</v>
      </c>
      <c r="V104" s="18"/>
      <c r="W104" s="18"/>
      <c r="X104" s="18"/>
      <c r="Y104" s="18"/>
      <c r="Z104" s="18"/>
      <c r="AA104" s="14" t="str">
        <f>IF(AND(D104&lt;&gt;"EV",D104&lt;&gt;"Diesel"),"Invalid vehicle",IF(COUNTIFS(Routes[Corridor],E104,Routes[Direction],F104)=0,"Unknown route",IF(C104="","Missing date",IF(SUM(O104:U104)&lt;=0,"No distance","OK"))))</f>
        <v>OK</v>
      </c>
      <c r="AB104" s="17">
        <f t="shared" si="114"/>
        <v>46266</v>
      </c>
      <c r="AC104" s="14">
        <f>--(COUNTIFS($C$5:C104,C104,$D$5:D104,D104,$G$5:G104,G104,$F$5:F104,F104)=1)</f>
        <v>0</v>
      </c>
      <c r="AD104" s="14">
        <f t="shared" si="140"/>
        <v>0</v>
      </c>
      <c r="AE104" s="14">
        <f t="shared" si="141"/>
        <v>1</v>
      </c>
      <c r="AF104" s="14">
        <f t="shared" si="115"/>
        <v>0</v>
      </c>
      <c r="AG104" s="14">
        <f>SUMIFS(Routes[Net elevation (m)],Routes[Corridor],E104,Routes[Direction],F104)</f>
        <v>-880</v>
      </c>
      <c r="AH104" s="14">
        <f t="shared" si="142"/>
        <v>14500</v>
      </c>
      <c r="AI104" s="14">
        <f t="shared" si="143"/>
        <v>0.25</v>
      </c>
      <c r="AJ104" s="14">
        <f t="shared" si="144"/>
        <v>8.1</v>
      </c>
      <c r="AK104" s="14">
        <f t="shared" si="116"/>
        <v>326.13414239444495</v>
      </c>
      <c r="AL104" s="14">
        <f t="shared" si="117"/>
        <v>5.8624999999999998</v>
      </c>
      <c r="AM104" s="14">
        <f t="shared" si="118"/>
        <v>5.8624999999999998</v>
      </c>
      <c r="AN104" s="14">
        <f t="shared" si="119"/>
        <v>0.69527777777777777</v>
      </c>
      <c r="AO104" s="14">
        <f t="shared" si="120"/>
        <v>5.1672222222222226</v>
      </c>
      <c r="AP104" s="14">
        <f t="shared" si="121"/>
        <v>63.016566640353268</v>
      </c>
      <c r="AQ104" s="14">
        <f t="shared" si="122"/>
        <v>5.2238774652901725</v>
      </c>
      <c r="AR104" s="14">
        <f t="shared" si="123"/>
        <v>54.392030103708706</v>
      </c>
      <c r="AS104" s="14">
        <f t="shared" si="124"/>
        <v>56.189793649516318</v>
      </c>
      <c r="AT104" s="14">
        <f t="shared" si="125"/>
        <v>71.157999130294456</v>
      </c>
      <c r="AU104" s="14">
        <f t="shared" si="145"/>
        <v>165.01264507009162</v>
      </c>
      <c r="AV104" s="14">
        <f t="shared" si="146"/>
        <v>21.785314756623876</v>
      </c>
      <c r="AW104" s="14">
        <f t="shared" si="126"/>
        <v>60.338010709374544</v>
      </c>
      <c r="AX104" s="14">
        <f t="shared" si="147"/>
        <v>-34.771000000000001</v>
      </c>
      <c r="AY104" s="14">
        <f t="shared" si="127"/>
        <v>165.01264507009162</v>
      </c>
      <c r="AZ104" s="14">
        <f t="shared" si="148"/>
        <v>-17.3855</v>
      </c>
      <c r="BA104" s="14">
        <f t="shared" si="149"/>
        <v>55.938195952750668</v>
      </c>
      <c r="BB104" s="14">
        <f t="shared" si="128"/>
        <v>207.96515577946616</v>
      </c>
      <c r="BC104" s="14">
        <f t="shared" si="150"/>
        <v>645.8545210542427</v>
      </c>
      <c r="BD104" s="14">
        <f t="shared" si="151"/>
        <v>119.58428571428573</v>
      </c>
      <c r="BE104" s="14">
        <f t="shared" si="152"/>
        <v>17.333661265432095</v>
      </c>
      <c r="BF104" s="14">
        <f t="shared" si="153"/>
        <v>0</v>
      </c>
      <c r="BG104" s="14">
        <f t="shared" si="129"/>
        <v>782.77246803396042</v>
      </c>
      <c r="BH104" s="14" t="str">
        <f t="shared" si="154"/>
        <v/>
      </c>
      <c r="BI104" s="14">
        <f t="shared" si="155"/>
        <v>1</v>
      </c>
      <c r="BJ104" s="14">
        <f t="shared" si="130"/>
        <v>782.77246803396042</v>
      </c>
      <c r="BK104" s="14">
        <f t="shared" si="109"/>
        <v>2817.9808849222577</v>
      </c>
      <c r="BL104" s="14">
        <f t="shared" si="156"/>
        <v>78.495289273600491</v>
      </c>
      <c r="BM104" s="14" t="str">
        <f t="shared" si="157"/>
        <v/>
      </c>
      <c r="BN104" s="14">
        <f t="shared" si="131"/>
        <v>2.4001549248628851</v>
      </c>
      <c r="BO104" s="14">
        <f t="shared" si="132"/>
        <v>0.41663977172520544</v>
      </c>
      <c r="BP104" s="14">
        <f t="shared" si="133"/>
        <v>4.1548243902596873</v>
      </c>
      <c r="BQ104" s="22">
        <f t="shared" si="134"/>
        <v>0.26567765764909812</v>
      </c>
      <c r="BR104" s="14">
        <f t="shared" si="158"/>
        <v>7221.5666131712451</v>
      </c>
      <c r="BS104" s="14">
        <f t="shared" si="159"/>
        <v>210.36737525324932</v>
      </c>
      <c r="BT104" s="14">
        <f t="shared" si="135"/>
        <v>22.14293345723085</v>
      </c>
      <c r="BU104" s="14">
        <f t="shared" si="136"/>
        <v>0.64503327897150742</v>
      </c>
      <c r="BV104" s="22" t="str">
        <f t="shared" si="137"/>
        <v/>
      </c>
      <c r="BW104" s="14" t="e">
        <f t="shared" si="138"/>
        <v>#N/A</v>
      </c>
      <c r="BX104" s="14" t="e">
        <f t="shared" si="139"/>
        <v>#N/A</v>
      </c>
    </row>
    <row r="105" spans="1:76" x14ac:dyDescent="0.25">
      <c r="A105" s="12" t="s">
        <v>559</v>
      </c>
      <c r="B105" s="12" t="s">
        <v>281</v>
      </c>
      <c r="C105" s="15">
        <v>46290</v>
      </c>
      <c r="D105" s="12" t="s">
        <v>300</v>
      </c>
      <c r="E105" s="12" t="s">
        <v>29</v>
      </c>
      <c r="F105" s="12" t="s">
        <v>41</v>
      </c>
      <c r="G105" s="16">
        <v>0.56201388888888892</v>
      </c>
      <c r="H105" s="14">
        <v>0</v>
      </c>
      <c r="I105" s="14">
        <v>35.56666666666667</v>
      </c>
      <c r="J105" s="14">
        <v>30.984083333333331</v>
      </c>
      <c r="K105" s="14">
        <v>3.3</v>
      </c>
      <c r="L105" s="14">
        <v>67.480850000000004</v>
      </c>
      <c r="M105" s="14">
        <v>48.56666666666667</v>
      </c>
      <c r="N105" s="14">
        <v>79.916666666666671</v>
      </c>
      <c r="O105" s="14">
        <v>0</v>
      </c>
      <c r="P105" s="14">
        <v>0.59332623218911007</v>
      </c>
      <c r="Q105" s="14">
        <v>0.60827748536033199</v>
      </c>
      <c r="R105" s="14">
        <v>0.30723605634976031</v>
      </c>
      <c r="S105" s="14">
        <v>47.848227987467823</v>
      </c>
      <c r="T105" s="14">
        <v>34.798057659764133</v>
      </c>
      <c r="U105" s="14">
        <v>69.521351283950381</v>
      </c>
      <c r="V105" s="18"/>
      <c r="W105" s="18"/>
      <c r="X105" s="18"/>
      <c r="Y105" s="18"/>
      <c r="Z105" s="18"/>
      <c r="AA105" s="14" t="str">
        <f>IF(AND(D105&lt;&gt;"EV",D105&lt;&gt;"Diesel"),"Invalid vehicle",IF(COUNTIFS(Routes[Corridor],E105,Routes[Direction],F105)=0,"Unknown route",IF(C105="","Missing date",IF(SUM(O105:U105)&lt;=0,"No distance","OK"))))</f>
        <v>OK</v>
      </c>
      <c r="AB105" s="17">
        <f t="shared" si="114"/>
        <v>46266</v>
      </c>
      <c r="AC105" s="14">
        <f>--(COUNTIFS($C$5:C105,C105,$D$5:D105,D105,$G$5:G105,G105,$F$5:F105,F105)=1)</f>
        <v>1</v>
      </c>
      <c r="AD105" s="14">
        <f t="shared" si="140"/>
        <v>0</v>
      </c>
      <c r="AE105" s="14">
        <f t="shared" si="141"/>
        <v>1</v>
      </c>
      <c r="AF105" s="14">
        <f t="shared" si="115"/>
        <v>0</v>
      </c>
      <c r="AG105" s="14">
        <f>SUMIFS(Routes[Net elevation (m)],Routes[Corridor],E105,Routes[Direction],F105)</f>
        <v>-5</v>
      </c>
      <c r="AH105" s="14">
        <f t="shared" si="142"/>
        <v>16500</v>
      </c>
      <c r="AI105" s="14">
        <f t="shared" si="143"/>
        <v>0.25</v>
      </c>
      <c r="AJ105" s="14">
        <f t="shared" si="144"/>
        <v>8.1</v>
      </c>
      <c r="AK105" s="14">
        <f t="shared" si="116"/>
        <v>153.67647670508154</v>
      </c>
      <c r="AL105" s="14">
        <f t="shared" si="117"/>
        <v>4.4302488888888885</v>
      </c>
      <c r="AM105" s="14">
        <f t="shared" si="118"/>
        <v>4.4302488888888885</v>
      </c>
      <c r="AN105" s="14">
        <f t="shared" si="119"/>
        <v>1.1091791666666666</v>
      </c>
      <c r="AO105" s="14">
        <f t="shared" si="120"/>
        <v>3.3210697222222221</v>
      </c>
      <c r="AP105" s="14">
        <f t="shared" si="121"/>
        <v>45.911373665924366</v>
      </c>
      <c r="AQ105" s="14">
        <f t="shared" si="122"/>
        <v>5.5861101154501878</v>
      </c>
      <c r="AR105" s="14">
        <f t="shared" si="123"/>
        <v>42.543828052670783</v>
      </c>
      <c r="AS105" s="14">
        <f t="shared" si="124"/>
        <v>42.990050643497206</v>
      </c>
      <c r="AT105" s="14">
        <f t="shared" si="125"/>
        <v>52.195383654269307</v>
      </c>
      <c r="AU105" s="14">
        <f t="shared" si="145"/>
        <v>56.019403621731797</v>
      </c>
      <c r="AV105" s="14">
        <f t="shared" si="146"/>
        <v>15.286989498977858</v>
      </c>
      <c r="AW105" s="14">
        <f t="shared" si="126"/>
        <v>54.826094568973545</v>
      </c>
      <c r="AX105" s="14">
        <f t="shared" si="147"/>
        <v>-0.2248125</v>
      </c>
      <c r="AY105" s="14">
        <f t="shared" si="127"/>
        <v>56.019403621731797</v>
      </c>
      <c r="AZ105" s="14">
        <f t="shared" si="148"/>
        <v>-0.11240625</v>
      </c>
      <c r="BA105" s="14">
        <f t="shared" si="149"/>
        <v>39.651511319995684</v>
      </c>
      <c r="BB105" s="14">
        <f t="shared" si="128"/>
        <v>110.73309194070534</v>
      </c>
      <c r="BC105" s="14">
        <f t="shared" si="150"/>
        <v>133.51792601519907</v>
      </c>
      <c r="BD105" s="14">
        <f t="shared" si="151"/>
        <v>35.885015999999993</v>
      </c>
      <c r="BE105" s="14">
        <f t="shared" si="152"/>
        <v>0</v>
      </c>
      <c r="BF105" s="14">
        <f t="shared" si="153"/>
        <v>19.730988547943049</v>
      </c>
      <c r="BG105" s="14">
        <f t="shared" si="129"/>
        <v>149.67195346725603</v>
      </c>
      <c r="BH105" s="14" t="str">
        <f t="shared" si="154"/>
        <v/>
      </c>
      <c r="BI105" s="14">
        <f t="shared" si="155"/>
        <v>1</v>
      </c>
      <c r="BJ105" s="14">
        <f t="shared" si="130"/>
        <v>149.67195346725603</v>
      </c>
      <c r="BK105" s="14">
        <f t="shared" si="109"/>
        <v>538.81903248212177</v>
      </c>
      <c r="BL105" s="14" t="str">
        <f t="shared" si="156"/>
        <v/>
      </c>
      <c r="BM105" s="14">
        <f t="shared" si="157"/>
        <v>162.6869059426696</v>
      </c>
      <c r="BN105" s="14">
        <f t="shared" si="131"/>
        <v>0.97394185939393618</v>
      </c>
      <c r="BO105" s="14">
        <f t="shared" si="132"/>
        <v>1.0267553348844449</v>
      </c>
      <c r="BP105" s="14" t="str">
        <f t="shared" si="133"/>
        <v/>
      </c>
      <c r="BQ105" s="22">
        <f t="shared" si="134"/>
        <v>0.73983862290492919</v>
      </c>
      <c r="BR105" s="14">
        <f t="shared" si="158"/>
        <v>1545.5256064553612</v>
      </c>
      <c r="BS105" s="14">
        <f t="shared" si="159"/>
        <v>115.50770321929541</v>
      </c>
      <c r="BT105" s="14">
        <f t="shared" si="135"/>
        <v>10.057008330698254</v>
      </c>
      <c r="BU105" s="14">
        <f t="shared" si="136"/>
        <v>0.75162904366271155</v>
      </c>
      <c r="BV105" s="22" t="str">
        <f t="shared" si="137"/>
        <v/>
      </c>
      <c r="BW105" s="14" t="e">
        <f t="shared" si="138"/>
        <v>#N/A</v>
      </c>
      <c r="BX105" s="14" t="e">
        <f t="shared" si="139"/>
        <v>#N/A</v>
      </c>
    </row>
    <row r="106" spans="1:76" x14ac:dyDescent="0.25">
      <c r="A106" s="12" t="s">
        <v>560</v>
      </c>
      <c r="B106" s="12" t="s">
        <v>281</v>
      </c>
      <c r="C106" s="15">
        <v>46290</v>
      </c>
      <c r="D106" s="12" t="s">
        <v>457</v>
      </c>
      <c r="E106" s="12" t="s">
        <v>29</v>
      </c>
      <c r="F106" s="12" t="s">
        <v>41</v>
      </c>
      <c r="G106" s="16">
        <v>0.60219907407407403</v>
      </c>
      <c r="H106" s="14">
        <v>0</v>
      </c>
      <c r="I106" s="14">
        <v>48.18333333333333</v>
      </c>
      <c r="J106" s="14">
        <v>17.666666666666671</v>
      </c>
      <c r="K106" s="14">
        <v>10.233333333333331</v>
      </c>
      <c r="L106" s="14">
        <v>51.033333333333331</v>
      </c>
      <c r="M106" s="14">
        <v>37.133333333333333</v>
      </c>
      <c r="N106" s="14">
        <v>121.31666666666671</v>
      </c>
      <c r="O106" s="14">
        <v>0</v>
      </c>
      <c r="P106" s="14">
        <v>0.65269298090049266</v>
      </c>
      <c r="Q106" s="14">
        <v>1.4671353884529701</v>
      </c>
      <c r="R106" s="14">
        <v>1.325529204266642</v>
      </c>
      <c r="S106" s="14">
        <v>32.194796924640961</v>
      </c>
      <c r="T106" s="14">
        <v>24.26414905968165</v>
      </c>
      <c r="U106" s="14">
        <v>93.626436720487092</v>
      </c>
      <c r="V106" s="18"/>
      <c r="W106" s="18"/>
      <c r="X106" s="18"/>
      <c r="Y106" s="18"/>
      <c r="Z106" s="18"/>
      <c r="AA106" s="14" t="str">
        <f>IF(AND(D106&lt;&gt;"EV",D106&lt;&gt;"Diesel"),"Invalid vehicle",IF(COUNTIFS(Routes[Corridor],E106,Routes[Direction],F106)=0,"Unknown route",IF(C106="","Missing date",IF(SUM(O106:U106)&lt;=0,"No distance","OK"))))</f>
        <v>OK</v>
      </c>
      <c r="AB106" s="17">
        <f t="shared" si="114"/>
        <v>46266</v>
      </c>
      <c r="AC106" s="14">
        <f>--(COUNTIFS($C$5:C106,C106,$D$5:D106,D106,$G$5:G106,G106,$F$5:F106,F106)=1)</f>
        <v>0</v>
      </c>
      <c r="AD106" s="14">
        <f t="shared" si="140"/>
        <v>0</v>
      </c>
      <c r="AE106" s="14">
        <f t="shared" si="141"/>
        <v>1</v>
      </c>
      <c r="AF106" s="14">
        <f t="shared" si="115"/>
        <v>0</v>
      </c>
      <c r="AG106" s="14">
        <f>SUMIFS(Routes[Net elevation (m)],Routes[Corridor],E106,Routes[Direction],F106)</f>
        <v>-5</v>
      </c>
      <c r="AH106" s="14">
        <f t="shared" si="142"/>
        <v>14500</v>
      </c>
      <c r="AI106" s="14">
        <f t="shared" si="143"/>
        <v>0.25</v>
      </c>
      <c r="AJ106" s="14">
        <f t="shared" si="144"/>
        <v>8.1</v>
      </c>
      <c r="AK106" s="14">
        <f t="shared" si="116"/>
        <v>153.53074027842982</v>
      </c>
      <c r="AL106" s="14">
        <f t="shared" si="117"/>
        <v>4.759444444444445</v>
      </c>
      <c r="AM106" s="14">
        <f t="shared" si="118"/>
        <v>4.759444444444445</v>
      </c>
      <c r="AN106" s="14">
        <f t="shared" si="119"/>
        <v>1.0974999999999999</v>
      </c>
      <c r="AO106" s="14">
        <f t="shared" si="120"/>
        <v>3.6619444444444449</v>
      </c>
      <c r="AP106" s="14">
        <f t="shared" si="121"/>
        <v>41.347135164429545</v>
      </c>
      <c r="AQ106" s="14">
        <f t="shared" si="122"/>
        <v>7.7718324680128861</v>
      </c>
      <c r="AR106" s="14">
        <f t="shared" si="123"/>
        <v>37.851492138702632</v>
      </c>
      <c r="AS106" s="14">
        <f t="shared" si="124"/>
        <v>39.205985913309661</v>
      </c>
      <c r="AT106" s="14">
        <f t="shared" si="125"/>
        <v>46.305147986502732</v>
      </c>
      <c r="AU106" s="14">
        <f t="shared" si="145"/>
        <v>52.398903909237333</v>
      </c>
      <c r="AV106" s="14">
        <f t="shared" si="146"/>
        <v>9.225022962283381</v>
      </c>
      <c r="AW106" s="14">
        <f t="shared" si="126"/>
        <v>32.418371903284303</v>
      </c>
      <c r="AX106" s="14">
        <f t="shared" si="147"/>
        <v>-0.1975625</v>
      </c>
      <c r="AY106" s="14">
        <f t="shared" si="127"/>
        <v>52.398903909237333</v>
      </c>
      <c r="AZ106" s="14">
        <f t="shared" si="148"/>
        <v>-9.8781250000000001E-2</v>
      </c>
      <c r="BA106" s="14">
        <f t="shared" si="149"/>
        <v>23.292130191000918</v>
      </c>
      <c r="BB106" s="14">
        <f t="shared" si="128"/>
        <v>84.718494562521641</v>
      </c>
      <c r="BC106" s="14">
        <f t="shared" si="150"/>
        <v>263.1009147904399</v>
      </c>
      <c r="BD106" s="14">
        <f t="shared" si="151"/>
        <v>84.747857142857157</v>
      </c>
      <c r="BE106" s="14">
        <f t="shared" si="152"/>
        <v>27.361284722222219</v>
      </c>
      <c r="BF106" s="14">
        <f t="shared" si="153"/>
        <v>0</v>
      </c>
      <c r="BG106" s="14">
        <f t="shared" si="129"/>
        <v>375.21005665551922</v>
      </c>
      <c r="BH106" s="14" t="str">
        <f t="shared" si="154"/>
        <v/>
      </c>
      <c r="BI106" s="14">
        <f t="shared" si="155"/>
        <v>1</v>
      </c>
      <c r="BJ106" s="14">
        <f t="shared" si="130"/>
        <v>375.21005665551922</v>
      </c>
      <c r="BK106" s="14">
        <f t="shared" si="109"/>
        <v>1350.7562039598693</v>
      </c>
      <c r="BL106" s="14">
        <f t="shared" si="156"/>
        <v>37.625521001667671</v>
      </c>
      <c r="BM106" s="14" t="str">
        <f t="shared" si="157"/>
        <v/>
      </c>
      <c r="BN106" s="14">
        <f t="shared" si="131"/>
        <v>2.4438757735100562</v>
      </c>
      <c r="BO106" s="14">
        <f t="shared" si="132"/>
        <v>0.40918610137197514</v>
      </c>
      <c r="BP106" s="14">
        <f t="shared" si="133"/>
        <v>4.080494733126085</v>
      </c>
      <c r="BQ106" s="22">
        <f t="shared" si="134"/>
        <v>0.22578950926227914</v>
      </c>
      <c r="BR106" s="14">
        <f t="shared" si="158"/>
        <v>3461.5479321534258</v>
      </c>
      <c r="BS106" s="14">
        <f t="shared" si="159"/>
        <v>100.83639628446936</v>
      </c>
      <c r="BT106" s="14">
        <f t="shared" si="135"/>
        <v>22.546285687647096</v>
      </c>
      <c r="BU106" s="14">
        <f t="shared" si="136"/>
        <v>0.65678310481406754</v>
      </c>
      <c r="BV106" s="22" t="str">
        <f t="shared" si="137"/>
        <v/>
      </c>
      <c r="BW106" s="14" t="e">
        <f t="shared" si="138"/>
        <v>#N/A</v>
      </c>
      <c r="BX106" s="14" t="e">
        <f t="shared" si="139"/>
        <v>#N/A</v>
      </c>
    </row>
    <row r="107" spans="1:76" x14ac:dyDescent="0.25">
      <c r="A107" s="12" t="s">
        <v>561</v>
      </c>
      <c r="B107" s="12" t="s">
        <v>283</v>
      </c>
      <c r="C107" s="15">
        <v>46291</v>
      </c>
      <c r="D107" s="12" t="s">
        <v>300</v>
      </c>
      <c r="E107" s="12" t="s">
        <v>29</v>
      </c>
      <c r="F107" s="12" t="s">
        <v>52</v>
      </c>
      <c r="G107" s="16">
        <v>0.60499999999999998</v>
      </c>
      <c r="H107" s="14">
        <v>0</v>
      </c>
      <c r="I107" s="14">
        <v>35.1</v>
      </c>
      <c r="J107" s="14">
        <v>15.116666666666671</v>
      </c>
      <c r="K107" s="14">
        <v>6.6</v>
      </c>
      <c r="L107" s="14">
        <v>73.302949999999996</v>
      </c>
      <c r="M107" s="14">
        <v>55.483333333333327</v>
      </c>
      <c r="N107" s="14">
        <v>78.349999999999994</v>
      </c>
      <c r="O107" s="14">
        <v>0</v>
      </c>
      <c r="P107" s="14">
        <v>0.1862366457606098</v>
      </c>
      <c r="Q107" s="14">
        <v>0.29756116596851101</v>
      </c>
      <c r="R107" s="14">
        <v>1.4208131798353429</v>
      </c>
      <c r="S107" s="14">
        <v>52.756028546138587</v>
      </c>
      <c r="T107" s="14">
        <v>37.953041680685587</v>
      </c>
      <c r="U107" s="14">
        <v>58.946475557855408</v>
      </c>
      <c r="V107" s="18"/>
      <c r="W107" s="18"/>
      <c r="X107" s="18"/>
      <c r="Y107" s="18"/>
      <c r="Z107" s="18"/>
      <c r="AA107" s="14" t="str">
        <f>IF(AND(D107&lt;&gt;"EV",D107&lt;&gt;"Diesel"),"Invalid vehicle",IF(COUNTIFS(Routes[Corridor],E107,Routes[Direction],F107)=0,"Unknown route",IF(C107="","Missing date",IF(SUM(O107:U107)&lt;=0,"No distance","OK"))))</f>
        <v>OK</v>
      </c>
      <c r="AB107" s="17">
        <f t="shared" si="114"/>
        <v>46266</v>
      </c>
      <c r="AC107" s="14">
        <f>--(COUNTIFS($C$5:C107,C107,$D$5:D107,D107,$G$5:G107,G107,$F$5:F107,F107)=1)</f>
        <v>1</v>
      </c>
      <c r="AD107" s="14">
        <f t="shared" si="140"/>
        <v>0</v>
      </c>
      <c r="AE107" s="14">
        <f t="shared" si="141"/>
        <v>1</v>
      </c>
      <c r="AF107" s="14">
        <f t="shared" si="115"/>
        <v>0</v>
      </c>
      <c r="AG107" s="14">
        <f>SUMIFS(Routes[Net elevation (m)],Routes[Corridor],E107,Routes[Direction],F107)</f>
        <v>5</v>
      </c>
      <c r="AH107" s="14">
        <f t="shared" si="142"/>
        <v>16500</v>
      </c>
      <c r="AI107" s="14">
        <f t="shared" si="143"/>
        <v>0.25</v>
      </c>
      <c r="AJ107" s="14">
        <f t="shared" si="144"/>
        <v>8.1</v>
      </c>
      <c r="AK107" s="14">
        <f t="shared" si="116"/>
        <v>151.56015677624404</v>
      </c>
      <c r="AL107" s="14">
        <f t="shared" si="117"/>
        <v>4.3992158333333329</v>
      </c>
      <c r="AM107" s="14">
        <f t="shared" si="118"/>
        <v>4.3992158333333329</v>
      </c>
      <c r="AN107" s="14">
        <f t="shared" si="119"/>
        <v>0.83694444444444449</v>
      </c>
      <c r="AO107" s="14">
        <f t="shared" si="120"/>
        <v>3.5622713888888886</v>
      </c>
      <c r="AP107" s="14">
        <f t="shared" si="121"/>
        <v>42.410120530327504</v>
      </c>
      <c r="AQ107" s="14">
        <f t="shared" si="122"/>
        <v>12.916483453048572</v>
      </c>
      <c r="AR107" s="14">
        <f t="shared" si="123"/>
        <v>43.181914408196604</v>
      </c>
      <c r="AS107" s="14">
        <f t="shared" si="124"/>
        <v>41.042640447722476</v>
      </c>
      <c r="AT107" s="14">
        <f t="shared" si="125"/>
        <v>45.140887472512127</v>
      </c>
      <c r="AU107" s="14">
        <f t="shared" si="145"/>
        <v>50.498902577057777</v>
      </c>
      <c r="AV107" s="14">
        <f t="shared" si="146"/>
        <v>16.254368465836716</v>
      </c>
      <c r="AW107" s="14">
        <f t="shared" si="126"/>
        <v>60.449616042450465</v>
      </c>
      <c r="AX107" s="14">
        <f t="shared" si="147"/>
        <v>0.2248125</v>
      </c>
      <c r="AY107" s="14">
        <f t="shared" si="127"/>
        <v>50.498902577057777</v>
      </c>
      <c r="AZ107" s="14">
        <f t="shared" si="148"/>
        <v>0.2248125</v>
      </c>
      <c r="BA107" s="14">
        <f t="shared" si="149"/>
        <v>44.195247576613752</v>
      </c>
      <c r="BB107" s="14">
        <f t="shared" si="128"/>
        <v>111.17333111950823</v>
      </c>
      <c r="BC107" s="14">
        <f t="shared" si="150"/>
        <v>134.04875037017936</v>
      </c>
      <c r="BD107" s="14">
        <f t="shared" si="151"/>
        <v>35.633648249999993</v>
      </c>
      <c r="BE107" s="14">
        <f t="shared" si="152"/>
        <v>0</v>
      </c>
      <c r="BF107" s="14">
        <f t="shared" si="153"/>
        <v>21.991997146598766</v>
      </c>
      <c r="BG107" s="14">
        <f t="shared" si="129"/>
        <v>147.69040147358058</v>
      </c>
      <c r="BH107" s="14" t="str">
        <f t="shared" si="154"/>
        <v/>
      </c>
      <c r="BI107" s="14">
        <f t="shared" si="155"/>
        <v>1</v>
      </c>
      <c r="BJ107" s="14">
        <f t="shared" si="130"/>
        <v>147.69040147358058</v>
      </c>
      <c r="BK107" s="14">
        <f t="shared" si="109"/>
        <v>531.6854453048901</v>
      </c>
      <c r="BL107" s="14" t="str">
        <f t="shared" si="156"/>
        <v/>
      </c>
      <c r="BM107" s="14">
        <f t="shared" si="157"/>
        <v>160.53304507997888</v>
      </c>
      <c r="BN107" s="14">
        <f t="shared" si="131"/>
        <v>0.97446719913086011</v>
      </c>
      <c r="BO107" s="14">
        <f t="shared" si="132"/>
        <v>1.0262018063736911</v>
      </c>
      <c r="BP107" s="14" t="str">
        <f t="shared" si="133"/>
        <v/>
      </c>
      <c r="BQ107" s="22">
        <f t="shared" si="134"/>
        <v>0.75274581157798082</v>
      </c>
      <c r="BR107" s="14">
        <f t="shared" si="158"/>
        <v>1525.0639282597992</v>
      </c>
      <c r="BS107" s="14">
        <f t="shared" si="159"/>
        <v>113.97846200678499</v>
      </c>
      <c r="BT107" s="14">
        <f t="shared" si="135"/>
        <v>10.062433034503446</v>
      </c>
      <c r="BU107" s="14">
        <f t="shared" si="136"/>
        <v>0.75203446889446801</v>
      </c>
      <c r="BV107" s="22" t="str">
        <f t="shared" si="137"/>
        <v/>
      </c>
      <c r="BW107" s="14" t="e">
        <f t="shared" si="138"/>
        <v>#N/A</v>
      </c>
      <c r="BX107" s="14" t="e">
        <f t="shared" si="139"/>
        <v>#N/A</v>
      </c>
    </row>
    <row r="108" spans="1:76" x14ac:dyDescent="0.25">
      <c r="A108" s="12" t="s">
        <v>562</v>
      </c>
      <c r="B108" s="12" t="s">
        <v>283</v>
      </c>
      <c r="C108" s="15">
        <v>46291</v>
      </c>
      <c r="D108" s="12" t="s">
        <v>457</v>
      </c>
      <c r="E108" s="12" t="s">
        <v>29</v>
      </c>
      <c r="F108" s="12" t="s">
        <v>52</v>
      </c>
      <c r="G108" s="16">
        <v>0.67787037037037035</v>
      </c>
      <c r="H108" s="14">
        <v>0</v>
      </c>
      <c r="I108" s="14">
        <v>26.333333333333329</v>
      </c>
      <c r="J108" s="14">
        <v>10.016666666666669</v>
      </c>
      <c r="K108" s="14">
        <v>14.15</v>
      </c>
      <c r="L108" s="14">
        <v>51.266666666666673</v>
      </c>
      <c r="M108" s="14">
        <v>41.040366666666657</v>
      </c>
      <c r="N108" s="14">
        <v>143.5333333333333</v>
      </c>
      <c r="O108" s="14">
        <v>0</v>
      </c>
      <c r="P108" s="14">
        <v>0.36612590067079281</v>
      </c>
      <c r="Q108" s="14">
        <v>0.5256426997626461</v>
      </c>
      <c r="R108" s="14">
        <v>1.2052897532145439</v>
      </c>
      <c r="S108" s="14">
        <v>29.795163922103889</v>
      </c>
      <c r="T108" s="14">
        <v>24.547360757977579</v>
      </c>
      <c r="U108" s="14">
        <v>95.669722271772159</v>
      </c>
      <c r="V108" s="18"/>
      <c r="W108" s="18"/>
      <c r="X108" s="18"/>
      <c r="Y108" s="18"/>
      <c r="Z108" s="18"/>
      <c r="AA108" s="14" t="str">
        <f>IF(AND(D108&lt;&gt;"EV",D108&lt;&gt;"Diesel"),"Invalid vehicle",IF(COUNTIFS(Routes[Corridor],E108,Routes[Direction],F108)=0,"Unknown route",IF(C108="","Missing date",IF(SUM(O108:U108)&lt;=0,"No distance","OK"))))</f>
        <v>OK</v>
      </c>
      <c r="AB108" s="17">
        <f t="shared" si="114"/>
        <v>46266</v>
      </c>
      <c r="AC108" s="14">
        <f>--(COUNTIFS($C$5:C108,C108,$D$5:D108,D108,$G$5:G108,G108,$F$5:F108,F108)=1)</f>
        <v>0</v>
      </c>
      <c r="AD108" s="14">
        <f t="shared" si="140"/>
        <v>0</v>
      </c>
      <c r="AE108" s="14">
        <f t="shared" si="141"/>
        <v>1</v>
      </c>
      <c r="AF108" s="14">
        <f t="shared" si="115"/>
        <v>0</v>
      </c>
      <c r="AG108" s="14">
        <f>SUMIFS(Routes[Net elevation (m)],Routes[Corridor],E108,Routes[Direction],F108)</f>
        <v>5</v>
      </c>
      <c r="AH108" s="14">
        <f t="shared" si="142"/>
        <v>14500</v>
      </c>
      <c r="AI108" s="14">
        <f t="shared" si="143"/>
        <v>0.25</v>
      </c>
      <c r="AJ108" s="14">
        <f t="shared" si="144"/>
        <v>8.1</v>
      </c>
      <c r="AK108" s="14">
        <f t="shared" si="116"/>
        <v>152.10930530550161</v>
      </c>
      <c r="AL108" s="14">
        <f t="shared" si="117"/>
        <v>4.7723394444444436</v>
      </c>
      <c r="AM108" s="14">
        <f t="shared" si="118"/>
        <v>4.7723394444444436</v>
      </c>
      <c r="AN108" s="14">
        <f t="shared" si="119"/>
        <v>0.60583333333333322</v>
      </c>
      <c r="AO108" s="14">
        <f t="shared" si="120"/>
        <v>4.1665061111111106</v>
      </c>
      <c r="AP108" s="14">
        <f t="shared" si="121"/>
        <v>36.293607322885208</v>
      </c>
      <c r="AQ108" s="14">
        <f t="shared" si="122"/>
        <v>5.1107692715811046</v>
      </c>
      <c r="AR108" s="14">
        <f t="shared" si="123"/>
        <v>34.870803029770478</v>
      </c>
      <c r="AS108" s="14">
        <f t="shared" si="124"/>
        <v>35.887633691024242</v>
      </c>
      <c r="AT108" s="14">
        <f t="shared" si="125"/>
        <v>39.991987944540156</v>
      </c>
      <c r="AU108" s="14">
        <f t="shared" si="145"/>
        <v>48.039308275039083</v>
      </c>
      <c r="AV108" s="14">
        <f t="shared" si="146"/>
        <v>8.9204083586997385</v>
      </c>
      <c r="AW108" s="14">
        <f t="shared" si="126"/>
        <v>30.002074782674054</v>
      </c>
      <c r="AX108" s="14">
        <f t="shared" si="147"/>
        <v>0.1975625</v>
      </c>
      <c r="AY108" s="14">
        <f t="shared" si="127"/>
        <v>48.039308275039083</v>
      </c>
      <c r="AZ108" s="14">
        <f t="shared" si="148"/>
        <v>0.1975625</v>
      </c>
      <c r="BA108" s="14">
        <f t="shared" si="149"/>
        <v>21.081666423974315</v>
      </c>
      <c r="BB108" s="14">
        <f t="shared" si="128"/>
        <v>78.238945557713137</v>
      </c>
      <c r="BC108" s="14">
        <f t="shared" si="150"/>
        <v>242.97809179414017</v>
      </c>
      <c r="BD108" s="14">
        <f t="shared" si="151"/>
        <v>96.424855714285698</v>
      </c>
      <c r="BE108" s="14">
        <f t="shared" si="152"/>
        <v>15.103761574074069</v>
      </c>
      <c r="BF108" s="14">
        <f t="shared" si="153"/>
        <v>0</v>
      </c>
      <c r="BG108" s="14">
        <f t="shared" si="129"/>
        <v>354.50670908249992</v>
      </c>
      <c r="BH108" s="14" t="str">
        <f t="shared" si="154"/>
        <v/>
      </c>
      <c r="BI108" s="14">
        <f t="shared" si="155"/>
        <v>1</v>
      </c>
      <c r="BJ108" s="14">
        <f t="shared" si="130"/>
        <v>354.50670908249992</v>
      </c>
      <c r="BK108" s="14">
        <f t="shared" si="109"/>
        <v>1276.2241526969997</v>
      </c>
      <c r="BL108" s="14">
        <f t="shared" si="156"/>
        <v>35.549419295181053</v>
      </c>
      <c r="BM108" s="14" t="str">
        <f t="shared" si="157"/>
        <v/>
      </c>
      <c r="BN108" s="14">
        <f t="shared" si="131"/>
        <v>2.3306050104593954</v>
      </c>
      <c r="BO108" s="14">
        <f t="shared" si="132"/>
        <v>0.42907313573606615</v>
      </c>
      <c r="BP108" s="14">
        <f t="shared" si="133"/>
        <v>4.2788126591457702</v>
      </c>
      <c r="BQ108" s="22">
        <f t="shared" si="134"/>
        <v>0.22069806735168321</v>
      </c>
      <c r="BR108" s="14">
        <f t="shared" si="158"/>
        <v>3270.5465751566571</v>
      </c>
      <c r="BS108" s="14">
        <f t="shared" si="159"/>
        <v>95.272443711085231</v>
      </c>
      <c r="BT108" s="14">
        <f t="shared" si="135"/>
        <v>21.501291907079437</v>
      </c>
      <c r="BU108" s="14">
        <f t="shared" si="136"/>
        <v>0.62634198164100974</v>
      </c>
      <c r="BV108" s="22" t="str">
        <f t="shared" si="137"/>
        <v/>
      </c>
      <c r="BW108" s="14" t="e">
        <f t="shared" si="138"/>
        <v>#N/A</v>
      </c>
      <c r="BX108" s="14" t="e">
        <f t="shared" si="139"/>
        <v>#N/A</v>
      </c>
    </row>
    <row r="109" spans="1:76" x14ac:dyDescent="0.25">
      <c r="A109" s="12" t="s">
        <v>563</v>
      </c>
      <c r="B109" s="12" t="s">
        <v>287</v>
      </c>
      <c r="C109" s="15">
        <v>46297</v>
      </c>
      <c r="D109" s="12" t="s">
        <v>300</v>
      </c>
      <c r="E109" s="12" t="s">
        <v>531</v>
      </c>
      <c r="F109" s="12" t="s">
        <v>532</v>
      </c>
      <c r="G109" s="16">
        <v>0.96744212962962961</v>
      </c>
      <c r="H109" s="14">
        <v>44.68333333333333</v>
      </c>
      <c r="I109" s="14">
        <v>6.6833333333333336</v>
      </c>
      <c r="J109" s="14">
        <v>11.75</v>
      </c>
      <c r="K109" s="14">
        <v>2.0166666666666671</v>
      </c>
      <c r="L109" s="14">
        <v>64.3</v>
      </c>
      <c r="M109" s="14">
        <v>51.866666666666667</v>
      </c>
      <c r="N109" s="14">
        <v>172.54785000000001</v>
      </c>
      <c r="O109" s="14">
        <v>5.2222732101069563E-2</v>
      </c>
      <c r="P109" s="14">
        <v>0.12701409600270411</v>
      </c>
      <c r="Q109" s="14">
        <v>3.1548608690509579E-2</v>
      </c>
      <c r="R109" s="14">
        <v>0.16750319091501231</v>
      </c>
      <c r="S109" s="14">
        <v>59.942098202755432</v>
      </c>
      <c r="T109" s="14">
        <v>53.823119668093447</v>
      </c>
      <c r="U109" s="14">
        <v>211.265551707941</v>
      </c>
      <c r="V109" s="18"/>
      <c r="W109" s="18"/>
      <c r="X109" s="18"/>
      <c r="Y109" s="18"/>
      <c r="Z109" s="18"/>
      <c r="AA109" s="14" t="str">
        <f>IF(AND(D109&lt;&gt;"EV",D109&lt;&gt;"Diesel"),"Invalid vehicle",IF(COUNTIFS(Routes[Corridor],E109,Routes[Direction],F109)=0,"Unknown route",IF(C109="","Missing date",IF(SUM(O109:U109)&lt;=0,"No distance","OK"))))</f>
        <v>OK</v>
      </c>
      <c r="AB109" s="17">
        <f t="shared" si="114"/>
        <v>46296</v>
      </c>
      <c r="AC109" s="14">
        <f>--(COUNTIFS($C$5:C109,C109,$D$5:D109,D109,$G$5:G109,G109,$F$5:F109,F109)=1)</f>
        <v>0</v>
      </c>
      <c r="AD109" s="14">
        <f t="shared" si="140"/>
        <v>0</v>
      </c>
      <c r="AE109" s="14">
        <f t="shared" si="141"/>
        <v>1</v>
      </c>
      <c r="AF109" s="14">
        <f t="shared" si="115"/>
        <v>0</v>
      </c>
      <c r="AG109" s="14">
        <f>SUMIFS(Routes[Net elevation (m)],Routes[Corridor],E109,Routes[Direction],F109)</f>
        <v>880</v>
      </c>
      <c r="AH109" s="14">
        <f t="shared" si="142"/>
        <v>16500</v>
      </c>
      <c r="AI109" s="14">
        <f t="shared" si="143"/>
        <v>0.25</v>
      </c>
      <c r="AJ109" s="14">
        <f t="shared" si="144"/>
        <v>8.1</v>
      </c>
      <c r="AK109" s="14">
        <f t="shared" si="116"/>
        <v>325.40905820649914</v>
      </c>
      <c r="AL109" s="14">
        <f t="shared" si="117"/>
        <v>5.8974641666666665</v>
      </c>
      <c r="AM109" s="14">
        <f t="shared" si="118"/>
        <v>5.1527419444444451</v>
      </c>
      <c r="AN109" s="14">
        <f t="shared" si="119"/>
        <v>0.30722222222222223</v>
      </c>
      <c r="AO109" s="14">
        <f t="shared" si="120"/>
        <v>4.8455197222222219</v>
      </c>
      <c r="AP109" s="14">
        <f t="shared" si="121"/>
        <v>67.113187317822849</v>
      </c>
      <c r="AQ109" s="14">
        <f t="shared" si="122"/>
        <v>4.9835660106945801</v>
      </c>
      <c r="AR109" s="14">
        <f t="shared" si="123"/>
        <v>55.933528649538509</v>
      </c>
      <c r="AS109" s="14">
        <f t="shared" si="124"/>
        <v>62.263248973372882</v>
      </c>
      <c r="AT109" s="14">
        <f t="shared" si="125"/>
        <v>73.463292080871824</v>
      </c>
      <c r="AU109" s="14">
        <f t="shared" si="145"/>
        <v>174.96811298684869</v>
      </c>
      <c r="AV109" s="14">
        <f t="shared" si="146"/>
        <v>31.004001441200771</v>
      </c>
      <c r="AW109" s="14">
        <f t="shared" si="126"/>
        <v>68.683654190657265</v>
      </c>
      <c r="AX109" s="14">
        <f t="shared" si="147"/>
        <v>39.567</v>
      </c>
      <c r="AY109" s="14">
        <f t="shared" si="127"/>
        <v>174.96811298684869</v>
      </c>
      <c r="AZ109" s="14">
        <f t="shared" si="148"/>
        <v>39.567</v>
      </c>
      <c r="BA109" s="14">
        <f t="shared" si="149"/>
        <v>37.679652749456494</v>
      </c>
      <c r="BB109" s="14">
        <f t="shared" si="128"/>
        <v>283.21876717750598</v>
      </c>
      <c r="BC109" s="14">
        <f t="shared" si="150"/>
        <v>341.49486607283535</v>
      </c>
      <c r="BD109" s="14">
        <f t="shared" si="151"/>
        <v>41.737209750000005</v>
      </c>
      <c r="BE109" s="14">
        <f t="shared" si="152"/>
        <v>0</v>
      </c>
      <c r="BF109" s="14">
        <f t="shared" si="153"/>
        <v>18.749772004657043</v>
      </c>
      <c r="BG109" s="14">
        <f t="shared" si="129"/>
        <v>364.48230381817831</v>
      </c>
      <c r="BH109" s="14" t="str">
        <f t="shared" si="154"/>
        <v/>
      </c>
      <c r="BI109" s="14">
        <f t="shared" si="155"/>
        <v>1</v>
      </c>
      <c r="BJ109" s="14">
        <f t="shared" si="130"/>
        <v>364.48230381817831</v>
      </c>
      <c r="BK109" s="14">
        <f t="shared" si="109"/>
        <v>1312.1362937454419</v>
      </c>
      <c r="BL109" s="14" t="str">
        <f t="shared" si="156"/>
        <v/>
      </c>
      <c r="BM109" s="14">
        <f t="shared" si="157"/>
        <v>396.17641719367208</v>
      </c>
      <c r="BN109" s="14">
        <f t="shared" si="131"/>
        <v>1.1200742407941329</v>
      </c>
      <c r="BO109" s="14">
        <f t="shared" si="132"/>
        <v>0.89279796247345156</v>
      </c>
      <c r="BP109" s="14" t="str">
        <f t="shared" si="133"/>
        <v/>
      </c>
      <c r="BQ109" s="22">
        <f t="shared" si="134"/>
        <v>0.77704394482424421</v>
      </c>
      <c r="BR109" s="14">
        <f t="shared" si="158"/>
        <v>3763.6759633398847</v>
      </c>
      <c r="BS109" s="14">
        <f t="shared" si="159"/>
        <v>281.28525620750719</v>
      </c>
      <c r="BT109" s="14">
        <f t="shared" si="135"/>
        <v>11.565984008200285</v>
      </c>
      <c r="BU109" s="14">
        <f t="shared" si="136"/>
        <v>0.86440512061286345</v>
      </c>
      <c r="BV109" s="22" t="str">
        <f t="shared" si="137"/>
        <v/>
      </c>
      <c r="BW109" s="14" t="e">
        <f t="shared" si="138"/>
        <v>#N/A</v>
      </c>
      <c r="BX109" s="14" t="e">
        <f t="shared" si="139"/>
        <v>#N/A</v>
      </c>
    </row>
    <row r="110" spans="1:76" x14ac:dyDescent="0.25">
      <c r="A110" s="12" t="s">
        <v>564</v>
      </c>
      <c r="B110" s="12" t="s">
        <v>287</v>
      </c>
      <c r="C110" s="15">
        <v>46297</v>
      </c>
      <c r="D110" s="12" t="s">
        <v>457</v>
      </c>
      <c r="E110" s="12" t="s">
        <v>531</v>
      </c>
      <c r="F110" s="12" t="s">
        <v>532</v>
      </c>
      <c r="G110" s="16">
        <v>0.97912037037037036</v>
      </c>
      <c r="H110" s="14">
        <v>0</v>
      </c>
      <c r="I110" s="14">
        <v>3.0166666666666671</v>
      </c>
      <c r="J110" s="14">
        <v>4.3</v>
      </c>
      <c r="K110" s="14">
        <v>1.8833333333333331</v>
      </c>
      <c r="L110" s="14">
        <v>48.913433333333337</v>
      </c>
      <c r="M110" s="14">
        <v>35.333333333333343</v>
      </c>
      <c r="N110" s="14">
        <v>224.5</v>
      </c>
      <c r="O110" s="14">
        <v>0</v>
      </c>
      <c r="P110" s="14">
        <v>2.1664931883547331E-3</v>
      </c>
      <c r="Q110" s="14">
        <v>4.085835435001741E-2</v>
      </c>
      <c r="R110" s="14">
        <v>0.36129624957342932</v>
      </c>
      <c r="S110" s="14">
        <v>42.408761093682124</v>
      </c>
      <c r="T110" s="14">
        <v>30.728695534576911</v>
      </c>
      <c r="U110" s="14">
        <v>251.55385390647561</v>
      </c>
      <c r="V110" s="18"/>
      <c r="W110" s="18"/>
      <c r="X110" s="18"/>
      <c r="Y110" s="18"/>
      <c r="Z110" s="18"/>
      <c r="AA110" s="14" t="str">
        <f>IF(AND(D110&lt;&gt;"EV",D110&lt;&gt;"Diesel"),"Invalid vehicle",IF(COUNTIFS(Routes[Corridor],E110,Routes[Direction],F110)=0,"Unknown route",IF(C110="","Missing date",IF(SUM(O110:U110)&lt;=0,"No distance","OK"))))</f>
        <v>OK</v>
      </c>
      <c r="AB110" s="17">
        <f t="shared" si="114"/>
        <v>46296</v>
      </c>
      <c r="AC110" s="14">
        <f>--(COUNTIFS($C$5:C110,C110,$D$5:D110,D110,$G$5:G110,G110,$F$5:F110,F110)=1)</f>
        <v>0</v>
      </c>
      <c r="AD110" s="14">
        <f t="shared" si="140"/>
        <v>0</v>
      </c>
      <c r="AE110" s="14">
        <f t="shared" si="141"/>
        <v>1</v>
      </c>
      <c r="AF110" s="14">
        <f t="shared" si="115"/>
        <v>0</v>
      </c>
      <c r="AG110" s="14">
        <f>SUMIFS(Routes[Net elevation (m)],Routes[Corridor],E110,Routes[Direction],F110)</f>
        <v>880</v>
      </c>
      <c r="AH110" s="14">
        <f t="shared" si="142"/>
        <v>14500</v>
      </c>
      <c r="AI110" s="14">
        <f t="shared" si="143"/>
        <v>0.25</v>
      </c>
      <c r="AJ110" s="14">
        <f t="shared" si="144"/>
        <v>8.1</v>
      </c>
      <c r="AK110" s="14">
        <f t="shared" si="116"/>
        <v>325.09563163184646</v>
      </c>
      <c r="AL110" s="14">
        <f t="shared" si="117"/>
        <v>5.2991127777777782</v>
      </c>
      <c r="AM110" s="14">
        <f t="shared" si="118"/>
        <v>5.2991127777777782</v>
      </c>
      <c r="AN110" s="14">
        <f t="shared" si="119"/>
        <v>0.12194444444444444</v>
      </c>
      <c r="AO110" s="14">
        <f t="shared" si="120"/>
        <v>5.1771683333333334</v>
      </c>
      <c r="AP110" s="14">
        <f t="shared" si="121"/>
        <v>62.785790581976713</v>
      </c>
      <c r="AQ110" s="14">
        <f t="shared" si="122"/>
        <v>11.510322995259697</v>
      </c>
      <c r="AR110" s="14">
        <f t="shared" si="123"/>
        <v>52.020998981621148</v>
      </c>
      <c r="AS110" s="14">
        <f t="shared" si="124"/>
        <v>52.18080373796078</v>
      </c>
      <c r="AT110" s="14">
        <f t="shared" si="125"/>
        <v>67.230428660973431</v>
      </c>
      <c r="AU110" s="14">
        <f t="shared" si="145"/>
        <v>165.79316202585849</v>
      </c>
      <c r="AV110" s="14">
        <f t="shared" si="146"/>
        <v>14.138631136281052</v>
      </c>
      <c r="AW110" s="14">
        <f t="shared" si="126"/>
        <v>42.703266379054909</v>
      </c>
      <c r="AX110" s="14">
        <f t="shared" si="147"/>
        <v>34.771000000000001</v>
      </c>
      <c r="AY110" s="14">
        <f t="shared" si="127"/>
        <v>165.79316202585849</v>
      </c>
      <c r="AZ110" s="14">
        <f t="shared" si="148"/>
        <v>34.771000000000001</v>
      </c>
      <c r="BA110" s="14">
        <f t="shared" si="149"/>
        <v>28.564635242773857</v>
      </c>
      <c r="BB110" s="14">
        <f t="shared" si="128"/>
        <v>243.2674284049134</v>
      </c>
      <c r="BC110" s="14">
        <f t="shared" si="150"/>
        <v>755.4889080897932</v>
      </c>
      <c r="BD110" s="14">
        <f t="shared" si="151"/>
        <v>119.81446714285714</v>
      </c>
      <c r="BE110" s="14">
        <f t="shared" si="152"/>
        <v>3.0401427469135798</v>
      </c>
      <c r="BF110" s="14">
        <f t="shared" si="153"/>
        <v>0</v>
      </c>
      <c r="BG110" s="14">
        <f t="shared" si="129"/>
        <v>878.3435179795639</v>
      </c>
      <c r="BH110" s="14" t="str">
        <f t="shared" si="154"/>
        <v/>
      </c>
      <c r="BI110" s="14">
        <f t="shared" si="155"/>
        <v>1</v>
      </c>
      <c r="BJ110" s="14">
        <f t="shared" si="130"/>
        <v>878.3435179795639</v>
      </c>
      <c r="BK110" s="14">
        <f t="shared" si="109"/>
        <v>3162.03666472643</v>
      </c>
      <c r="BL110" s="14">
        <f t="shared" si="156"/>
        <v>88.079015730541229</v>
      </c>
      <c r="BM110" s="14" t="str">
        <f t="shared" si="157"/>
        <v/>
      </c>
      <c r="BN110" s="14">
        <f t="shared" si="131"/>
        <v>2.7018004319856295</v>
      </c>
      <c r="BO110" s="14">
        <f t="shared" si="132"/>
        <v>0.37012356211116293</v>
      </c>
      <c r="BP110" s="14">
        <f t="shared" si="133"/>
        <v>3.6909544110529855</v>
      </c>
      <c r="BQ110" s="22">
        <f t="shared" si="134"/>
        <v>0.27696160263639974</v>
      </c>
      <c r="BR110" s="14">
        <f t="shared" si="158"/>
        <v>8103.2694472097928</v>
      </c>
      <c r="BS110" s="14">
        <f t="shared" si="159"/>
        <v>236.0517621578505</v>
      </c>
      <c r="BT110" s="14">
        <f t="shared" si="135"/>
        <v>24.925802314028985</v>
      </c>
      <c r="BU110" s="14">
        <f t="shared" si="136"/>
        <v>0.72609945871301829</v>
      </c>
      <c r="BV110" s="22" t="str">
        <f t="shared" si="137"/>
        <v/>
      </c>
      <c r="BW110" s="14" t="e">
        <f t="shared" si="138"/>
        <v>#N/A</v>
      </c>
      <c r="BX110" s="14" t="e">
        <f t="shared" si="139"/>
        <v>#N/A</v>
      </c>
    </row>
    <row r="111" spans="1:76" x14ac:dyDescent="0.25">
      <c r="A111" s="12" t="s">
        <v>565</v>
      </c>
      <c r="B111" s="12" t="s">
        <v>289</v>
      </c>
      <c r="C111" s="15">
        <v>46298</v>
      </c>
      <c r="D111" s="12" t="s">
        <v>300</v>
      </c>
      <c r="E111" s="12" t="s">
        <v>531</v>
      </c>
      <c r="F111" s="12" t="s">
        <v>541</v>
      </c>
      <c r="G111" s="16">
        <v>0.91612268518518514</v>
      </c>
      <c r="H111" s="14">
        <v>34.833333333333343</v>
      </c>
      <c r="I111" s="14">
        <v>58.166666666666657</v>
      </c>
      <c r="J111" s="14">
        <v>21.679983333333329</v>
      </c>
      <c r="K111" s="14">
        <v>8</v>
      </c>
      <c r="L111" s="14">
        <v>64.5</v>
      </c>
      <c r="M111" s="14">
        <v>53.652149999999999</v>
      </c>
      <c r="N111" s="14">
        <v>176.5333333333333</v>
      </c>
      <c r="O111" s="14">
        <v>8.8935996553685642E-2</v>
      </c>
      <c r="P111" s="14">
        <v>0.32793162569742029</v>
      </c>
      <c r="Q111" s="14">
        <v>0.10141816483241591</v>
      </c>
      <c r="R111" s="14">
        <v>0.57665162648251256</v>
      </c>
      <c r="S111" s="14">
        <v>63.630851515328487</v>
      </c>
      <c r="T111" s="14">
        <v>53.728638461221273</v>
      </c>
      <c r="U111" s="14">
        <v>206.0150800117203</v>
      </c>
      <c r="V111" s="18"/>
      <c r="W111" s="18"/>
      <c r="X111" s="18"/>
      <c r="Y111" s="18"/>
      <c r="Z111" s="18"/>
      <c r="AA111" s="14" t="str">
        <f>IF(AND(D111&lt;&gt;"EV",D111&lt;&gt;"Diesel"),"Invalid vehicle",IF(COUNTIFS(Routes[Corridor],E111,Routes[Direction],F111)=0,"Unknown route",IF(C111="","Missing date",IF(SUM(O111:U111)&lt;=0,"No distance","OK"))))</f>
        <v>OK</v>
      </c>
      <c r="AB111" s="17">
        <f t="shared" si="114"/>
        <v>46296</v>
      </c>
      <c r="AC111" s="14">
        <f>--(COUNTIFS($C$5:C111,C111,$D$5:D111,D111,$G$5:G111,G111,$F$5:F111,F111)=1)</f>
        <v>0</v>
      </c>
      <c r="AD111" s="14">
        <f t="shared" si="140"/>
        <v>0</v>
      </c>
      <c r="AE111" s="14">
        <f t="shared" si="141"/>
        <v>1</v>
      </c>
      <c r="AF111" s="14">
        <f t="shared" si="115"/>
        <v>0</v>
      </c>
      <c r="AG111" s="14">
        <f>SUMIFS(Routes[Net elevation (m)],Routes[Corridor],E111,Routes[Direction],F111)</f>
        <v>-880</v>
      </c>
      <c r="AH111" s="14">
        <f t="shared" si="142"/>
        <v>16500</v>
      </c>
      <c r="AI111" s="14">
        <f t="shared" si="143"/>
        <v>0.25</v>
      </c>
      <c r="AJ111" s="14">
        <f t="shared" si="144"/>
        <v>8.1</v>
      </c>
      <c r="AK111" s="14">
        <f t="shared" si="116"/>
        <v>324.4695074018361</v>
      </c>
      <c r="AL111" s="14">
        <f t="shared" si="117"/>
        <v>6.9560911111111103</v>
      </c>
      <c r="AM111" s="14">
        <f t="shared" si="118"/>
        <v>6.3755355555555546</v>
      </c>
      <c r="AN111" s="14">
        <f t="shared" si="119"/>
        <v>1.3307774999999997</v>
      </c>
      <c r="AO111" s="14">
        <f t="shared" si="120"/>
        <v>5.0447580555555556</v>
      </c>
      <c r="AP111" s="14">
        <f t="shared" si="121"/>
        <v>64.21541291915878</v>
      </c>
      <c r="AQ111" s="14">
        <f t="shared" si="122"/>
        <v>4.3248871986188444</v>
      </c>
      <c r="AR111" s="14">
        <f t="shared" si="123"/>
        <v>59.191489781700923</v>
      </c>
      <c r="AS111" s="14">
        <f t="shared" si="124"/>
        <v>60.08553818762671</v>
      </c>
      <c r="AT111" s="14">
        <f t="shared" si="125"/>
        <v>70.02023112180828</v>
      </c>
      <c r="AU111" s="14">
        <f t="shared" si="145"/>
        <v>168.3192643741526</v>
      </c>
      <c r="AV111" s="14">
        <f t="shared" si="146"/>
        <v>29.984687804852999</v>
      </c>
      <c r="AW111" s="14">
        <f t="shared" si="126"/>
        <v>72.910350694647221</v>
      </c>
      <c r="AX111" s="14">
        <f t="shared" si="147"/>
        <v>-39.567</v>
      </c>
      <c r="AY111" s="14">
        <f t="shared" si="127"/>
        <v>168.3192643741526</v>
      </c>
      <c r="AZ111" s="14">
        <f t="shared" si="148"/>
        <v>-19.7835</v>
      </c>
      <c r="BA111" s="14">
        <f t="shared" si="149"/>
        <v>62.709162889794229</v>
      </c>
      <c r="BB111" s="14">
        <f t="shared" si="128"/>
        <v>221.44611506879983</v>
      </c>
      <c r="BC111" s="14">
        <f t="shared" si="150"/>
        <v>267.01165378766484</v>
      </c>
      <c r="BD111" s="14">
        <f t="shared" si="151"/>
        <v>51.641837999999993</v>
      </c>
      <c r="BE111" s="14">
        <f t="shared" si="152"/>
        <v>0</v>
      </c>
      <c r="BF111" s="14">
        <f t="shared" si="153"/>
        <v>31.204706545590504</v>
      </c>
      <c r="BG111" s="14">
        <f t="shared" si="129"/>
        <v>287.44878524207434</v>
      </c>
      <c r="BH111" s="14" t="str">
        <f t="shared" si="154"/>
        <v/>
      </c>
      <c r="BI111" s="14">
        <f t="shared" si="155"/>
        <v>1</v>
      </c>
      <c r="BJ111" s="14">
        <f t="shared" si="130"/>
        <v>287.44878524207434</v>
      </c>
      <c r="BK111" s="14">
        <f t="shared" si="109"/>
        <v>1034.8156268714677</v>
      </c>
      <c r="BL111" s="14" t="str">
        <f t="shared" si="156"/>
        <v/>
      </c>
      <c r="BM111" s="14">
        <f t="shared" si="157"/>
        <v>312.44433178486338</v>
      </c>
      <c r="BN111" s="14">
        <f t="shared" si="131"/>
        <v>0.88590384823460833</v>
      </c>
      <c r="BO111" s="14">
        <f t="shared" si="132"/>
        <v>1.1287906718011866</v>
      </c>
      <c r="BP111" s="14" t="str">
        <f t="shared" si="133"/>
        <v/>
      </c>
      <c r="BQ111" s="22">
        <f t="shared" si="134"/>
        <v>0.77038459175365614</v>
      </c>
      <c r="BR111" s="14">
        <f t="shared" si="158"/>
        <v>2968.221151956202</v>
      </c>
      <c r="BS111" s="14">
        <f t="shared" si="159"/>
        <v>221.83547556725298</v>
      </c>
      <c r="BT111" s="14">
        <f t="shared" si="135"/>
        <v>9.1479201719878027</v>
      </c>
      <c r="BU111" s="14">
        <f t="shared" si="136"/>
        <v>0.68368666548540413</v>
      </c>
      <c r="BV111" s="22" t="str">
        <f t="shared" si="137"/>
        <v/>
      </c>
      <c r="BW111" s="14" t="e">
        <f t="shared" si="138"/>
        <v>#N/A</v>
      </c>
      <c r="BX111" s="14" t="e">
        <f t="shared" si="139"/>
        <v>#N/A</v>
      </c>
    </row>
    <row r="112" spans="1:76" x14ac:dyDescent="0.25">
      <c r="A112" s="12" t="s">
        <v>566</v>
      </c>
      <c r="B112" s="12" t="s">
        <v>289</v>
      </c>
      <c r="C112" s="15">
        <v>46298</v>
      </c>
      <c r="D112" s="12" t="s">
        <v>457</v>
      </c>
      <c r="E112" s="12" t="s">
        <v>531</v>
      </c>
      <c r="F112" s="12" t="s">
        <v>541</v>
      </c>
      <c r="G112" s="16">
        <v>0.91668981481481482</v>
      </c>
      <c r="H112" s="14">
        <v>0</v>
      </c>
      <c r="I112" s="14">
        <v>24.31666666666667</v>
      </c>
      <c r="J112" s="14">
        <v>2.666666666666667</v>
      </c>
      <c r="K112" s="14">
        <v>5.6833333333333336</v>
      </c>
      <c r="L112" s="14">
        <v>44.466666666666669</v>
      </c>
      <c r="M112" s="14">
        <v>32.450000000000003</v>
      </c>
      <c r="N112" s="14">
        <v>243.15</v>
      </c>
      <c r="O112" s="14">
        <v>0</v>
      </c>
      <c r="P112" s="14">
        <v>0.44236745429158209</v>
      </c>
      <c r="Q112" s="14">
        <v>0.428265735708522</v>
      </c>
      <c r="R112" s="14">
        <v>0.51104472499002784</v>
      </c>
      <c r="S112" s="14">
        <v>36.406613940185977</v>
      </c>
      <c r="T112" s="14">
        <v>29.047822987177661</v>
      </c>
      <c r="U112" s="14">
        <v>258.19733356892652</v>
      </c>
      <c r="V112" s="18"/>
      <c r="W112" s="18"/>
      <c r="X112" s="18"/>
      <c r="Y112" s="18"/>
      <c r="Z112" s="18"/>
      <c r="AA112" s="14" t="str">
        <f>IF(AND(D112&lt;&gt;"EV",D112&lt;&gt;"Diesel"),"Invalid vehicle",IF(COUNTIFS(Routes[Corridor],E112,Routes[Direction],F112)=0,"Unknown route",IF(C112="","Missing date",IF(SUM(O112:U112)&lt;=0,"No distance","OK"))))</f>
        <v>OK</v>
      </c>
      <c r="AB112" s="17">
        <f t="shared" si="114"/>
        <v>46296</v>
      </c>
      <c r="AC112" s="14">
        <f>--(COUNTIFS($C$5:C112,C112,$D$5:D112,D112,$G$5:G112,G112,$F$5:F112,F112)=1)</f>
        <v>0</v>
      </c>
      <c r="AD112" s="14">
        <f t="shared" si="140"/>
        <v>0</v>
      </c>
      <c r="AE112" s="14">
        <f t="shared" si="141"/>
        <v>1</v>
      </c>
      <c r="AF112" s="14">
        <f t="shared" si="115"/>
        <v>0</v>
      </c>
      <c r="AG112" s="14">
        <f>SUMIFS(Routes[Net elevation (m)],Routes[Corridor],E112,Routes[Direction],F112)</f>
        <v>-880</v>
      </c>
      <c r="AH112" s="14">
        <f t="shared" si="142"/>
        <v>14500</v>
      </c>
      <c r="AI112" s="14">
        <f t="shared" si="143"/>
        <v>0.25</v>
      </c>
      <c r="AJ112" s="14">
        <f t="shared" si="144"/>
        <v>8.1</v>
      </c>
      <c r="AK112" s="14">
        <f t="shared" si="116"/>
        <v>325.03344841128029</v>
      </c>
      <c r="AL112" s="14">
        <f t="shared" si="117"/>
        <v>5.8788888888888895</v>
      </c>
      <c r="AM112" s="14">
        <f t="shared" si="118"/>
        <v>5.8788888888888895</v>
      </c>
      <c r="AN112" s="14">
        <f t="shared" si="119"/>
        <v>0.4497222222222223</v>
      </c>
      <c r="AO112" s="14">
        <f t="shared" si="120"/>
        <v>5.4291666666666663</v>
      </c>
      <c r="AP112" s="14">
        <f t="shared" si="121"/>
        <v>59.707655911824446</v>
      </c>
      <c r="AQ112" s="14">
        <f t="shared" si="122"/>
        <v>5.3951935776073325</v>
      </c>
      <c r="AR112" s="14">
        <f t="shared" si="123"/>
        <v>49.1243666359331</v>
      </c>
      <c r="AS112" s="14">
        <f t="shared" si="124"/>
        <v>53.709379945474865</v>
      </c>
      <c r="AT112" s="14">
        <f t="shared" si="125"/>
        <v>63.713098968273044</v>
      </c>
      <c r="AU112" s="14">
        <f t="shared" si="145"/>
        <v>158.43353922785602</v>
      </c>
      <c r="AV112" s="14">
        <f t="shared" si="146"/>
        <v>13.682146357074519</v>
      </c>
      <c r="AW112" s="14">
        <f t="shared" si="126"/>
        <v>36.659437648103939</v>
      </c>
      <c r="AX112" s="14">
        <f t="shared" si="147"/>
        <v>-34.771000000000001</v>
      </c>
      <c r="AY112" s="14">
        <f t="shared" si="127"/>
        <v>158.43353922785602</v>
      </c>
      <c r="AZ112" s="14">
        <f t="shared" si="148"/>
        <v>-17.3855</v>
      </c>
      <c r="BA112" s="14">
        <f t="shared" si="149"/>
        <v>40.362791291029424</v>
      </c>
      <c r="BB112" s="14">
        <f t="shared" si="128"/>
        <v>177.70747687595994</v>
      </c>
      <c r="BC112" s="14">
        <f t="shared" si="150"/>
        <v>551.88657414894385</v>
      </c>
      <c r="BD112" s="14">
        <f t="shared" si="151"/>
        <v>125.64642857142856</v>
      </c>
      <c r="BE112" s="14">
        <f t="shared" si="152"/>
        <v>11.211824845679013</v>
      </c>
      <c r="BF112" s="14">
        <f t="shared" si="153"/>
        <v>0</v>
      </c>
      <c r="BG112" s="14">
        <f t="shared" si="129"/>
        <v>688.74482756605141</v>
      </c>
      <c r="BH112" s="14" t="str">
        <f t="shared" si="154"/>
        <v/>
      </c>
      <c r="BI112" s="14">
        <f t="shared" si="155"/>
        <v>1</v>
      </c>
      <c r="BJ112" s="14">
        <f t="shared" si="130"/>
        <v>688.74482756605141</v>
      </c>
      <c r="BK112" s="14">
        <f t="shared" si="109"/>
        <v>2479.4813792377849</v>
      </c>
      <c r="BL112" s="14">
        <f t="shared" si="156"/>
        <v>69.066333683503771</v>
      </c>
      <c r="BM112" s="14" t="str">
        <f t="shared" si="157"/>
        <v/>
      </c>
      <c r="BN112" s="14">
        <f t="shared" si="131"/>
        <v>2.1189967707401909</v>
      </c>
      <c r="BO112" s="14">
        <f t="shared" si="132"/>
        <v>0.47192143650633689</v>
      </c>
      <c r="BP112" s="14">
        <f t="shared" si="133"/>
        <v>4.7061054362715256</v>
      </c>
      <c r="BQ112" s="22">
        <f t="shared" si="134"/>
        <v>0.25801642315624879</v>
      </c>
      <c r="BR112" s="14">
        <f t="shared" si="158"/>
        <v>6354.1026988823469</v>
      </c>
      <c r="BS112" s="14">
        <f t="shared" si="159"/>
        <v>185.09777427179012</v>
      </c>
      <c r="BT112" s="14">
        <f t="shared" si="135"/>
        <v>19.549073272121209</v>
      </c>
      <c r="BU112" s="14">
        <f t="shared" si="136"/>
        <v>0.56947300401396561</v>
      </c>
      <c r="BV112" s="22" t="str">
        <f t="shared" si="137"/>
        <v/>
      </c>
      <c r="BW112" s="14" t="e">
        <f t="shared" si="138"/>
        <v>#N/A</v>
      </c>
      <c r="BX112" s="14" t="e">
        <f t="shared" si="139"/>
        <v>#N/A</v>
      </c>
    </row>
  </sheetData>
  <mergeCells count="2">
    <mergeCell ref="A1:U2"/>
    <mergeCell ref="A3:Z3"/>
  </mergeCells>
  <conditionalFormatting sqref="AA5:AA112">
    <cfRule type="expression" dxfId="78" priority="1" stopIfTrue="1">
      <formula>$AA5&lt;&gt;"OK"</formula>
    </cfRule>
  </conditionalFormatting>
  <dataValidations count="10">
    <dataValidation type="list" allowBlank="1" showInputMessage="1" showErrorMessage="1" errorTitle="Select a listed value" error="Use the dropdown list." sqref="D5:D112">
      <formula1>TAT_L_Bus</formula1>
    </dataValidation>
    <dataValidation type="list" allowBlank="1" showInputMessage="1" showErrorMessage="1" errorTitle="Select a listed value" error="Use the dropdown list." sqref="E5:E112">
      <formula1>TAT_L_RouteCorr</formula1>
    </dataValidation>
    <dataValidation type="list" allowBlank="1" showInputMessage="1" showErrorMessage="1" errorTitle="Select a listed value" error="Use the dropdown list." sqref="F5:F112">
      <formula1>TAT_L_RouteDir</formula1>
    </dataValidation>
    <dataValidation type="whole" allowBlank="1" showInputMessage="1" showErrorMessage="1" errorTitle="Invalid number" error="Enter a value from 1 to 2958465." sqref="C5:C112">
      <formula1>1</formula1>
      <formula2>2958465</formula2>
    </dataValidation>
    <dataValidation type="decimal" allowBlank="1" showInputMessage="1" showErrorMessage="1" errorTitle="Invalid number" error="Enter a value from 0 to 0.999999999." sqref="G5:G112">
      <formula1>0</formula1>
      <formula2>0.999999999</formula2>
    </dataValidation>
    <dataValidation type="decimal" allowBlank="1" showInputMessage="1" showErrorMessage="1" errorTitle="Invalid number" error="Enter a value from 0 to 1000000." sqref="H5:U112">
      <formula1>0</formula1>
      <formula2>1000000</formula2>
    </dataValidation>
    <dataValidation type="whole" allowBlank="1" showInputMessage="1" showErrorMessage="1" errorTitle="Invalid number" error="Enter a value from 0 to 200." sqref="V5:V112">
      <formula1>0</formula1>
      <formula2>200</formula2>
    </dataValidation>
    <dataValidation type="decimal" allowBlank="1" showInputMessage="1" showErrorMessage="1" errorTitle="Invalid number" error="Enter a value from -50 to 70." sqref="W5:W112">
      <formula1>-50</formula1>
      <formula2>70</formula2>
    </dataValidation>
    <dataValidation type="decimal" allowBlank="1" showInputMessage="1" showErrorMessage="1" errorTitle="Invalid number" error="Enter a value from 0 to 10." sqref="X5:X112">
      <formula1>0</formula1>
      <formula2>10</formula2>
    </dataValidation>
    <dataValidation type="decimal" allowBlank="1" showInputMessage="1" showErrorMessage="1" errorTitle="Invalid number" error="Enter a value from 0 to 1000000." sqref="Y5:Z112">
      <formula1>0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2B41"/>
  </sheetPr>
  <dimension ref="A1:W103"/>
  <sheetViews>
    <sheetView showGridLines="0" tabSelected="1" zoomScale="80" zoomScaleNormal="80" workbookViewId="0">
      <selection activeCell="B8" sqref="B8:E9"/>
    </sheetView>
  </sheetViews>
  <sheetFormatPr defaultRowHeight="14.25" x14ac:dyDescent="0.25"/>
  <cols>
    <col min="1" max="1" width="2.7109375" style="12" customWidth="1"/>
    <col min="2" max="22" width="10.7109375" style="12" customWidth="1"/>
    <col min="23" max="16384" width="9.140625" style="12"/>
  </cols>
  <sheetData>
    <row r="1" spans="1:23" ht="20.100000000000001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20.100000000000001" customHeight="1" x14ac:dyDescent="0.25">
      <c r="A2" s="24"/>
      <c r="B2" s="53" t="s">
        <v>699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24"/>
    </row>
    <row r="3" spans="1:23" ht="20.100000000000001" customHeight="1" x14ac:dyDescent="0.25">
      <c r="A3" s="2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24"/>
    </row>
    <row r="4" spans="1:23" ht="20.100000000000001" customHeight="1" x14ac:dyDescent="0.25">
      <c r="A4" s="24"/>
      <c r="B4" s="54" t="s">
        <v>700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24"/>
    </row>
    <row r="5" spans="1:23" ht="20.100000000000001" customHeight="1" x14ac:dyDescent="0.25">
      <c r="A5" s="24"/>
      <c r="B5" s="25" t="s">
        <v>701</v>
      </c>
      <c r="C5" s="24"/>
      <c r="D5" s="24"/>
      <c r="E5" s="24"/>
      <c r="F5" s="25" t="s">
        <v>702</v>
      </c>
      <c r="G5" s="24"/>
      <c r="H5" s="24"/>
      <c r="I5" s="24"/>
      <c r="J5" s="24"/>
      <c r="K5" s="25" t="s">
        <v>703</v>
      </c>
      <c r="L5" s="24"/>
      <c r="M5" s="24"/>
      <c r="N5" s="24"/>
      <c r="O5" s="24"/>
      <c r="P5" s="24"/>
      <c r="Q5" s="25" t="s">
        <v>704</v>
      </c>
      <c r="R5" s="24"/>
      <c r="S5" s="24"/>
      <c r="T5" s="24"/>
      <c r="U5" s="24"/>
      <c r="V5" s="24"/>
      <c r="W5" s="24"/>
    </row>
    <row r="6" spans="1:23" ht="20.100000000000001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ht="20.100000000000001" customHeight="1" x14ac:dyDescent="0.25">
      <c r="A7" s="24"/>
      <c r="B7" s="50" t="s">
        <v>384</v>
      </c>
      <c r="C7" s="50"/>
      <c r="D7" s="50"/>
      <c r="E7" s="50"/>
      <c r="F7" s="50" t="s">
        <v>38</v>
      </c>
      <c r="G7" s="50"/>
      <c r="H7" s="50"/>
      <c r="I7" s="50"/>
      <c r="J7" s="50" t="s">
        <v>406</v>
      </c>
      <c r="K7" s="50"/>
      <c r="L7" s="50"/>
      <c r="M7" s="50" t="s">
        <v>705</v>
      </c>
      <c r="N7" s="50"/>
      <c r="O7" s="50"/>
      <c r="P7" s="50"/>
      <c r="Q7" s="50" t="s">
        <v>658</v>
      </c>
      <c r="R7" s="50"/>
      <c r="S7" s="50"/>
      <c r="T7" s="50"/>
      <c r="U7" s="50"/>
      <c r="V7" s="50"/>
      <c r="W7" s="24"/>
    </row>
    <row r="8" spans="1:23" ht="20.100000000000001" customHeight="1" x14ac:dyDescent="0.25">
      <c r="A8" s="24"/>
      <c r="B8" s="51" t="s">
        <v>35</v>
      </c>
      <c r="C8" s="51"/>
      <c r="D8" s="51"/>
      <c r="E8" s="51"/>
      <c r="F8" s="51" t="s">
        <v>661</v>
      </c>
      <c r="G8" s="51"/>
      <c r="H8" s="51"/>
      <c r="I8" s="51"/>
      <c r="J8" s="51" t="s">
        <v>661</v>
      </c>
      <c r="K8" s="51"/>
      <c r="L8" s="51"/>
      <c r="M8" s="51" t="s">
        <v>663</v>
      </c>
      <c r="N8" s="51"/>
      <c r="O8" s="51"/>
      <c r="P8" s="51"/>
      <c r="Q8" s="51" t="s">
        <v>444</v>
      </c>
      <c r="R8" s="51"/>
      <c r="S8" s="51"/>
      <c r="T8" s="51"/>
      <c r="U8" s="51"/>
      <c r="V8" s="51"/>
      <c r="W8" s="24"/>
    </row>
    <row r="9" spans="1:23" ht="20.100000000000001" customHeight="1" x14ac:dyDescent="0.25">
      <c r="A9" s="24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24"/>
    </row>
    <row r="10" spans="1:23" ht="20.100000000000001" customHeight="1" x14ac:dyDescent="0.25">
      <c r="A10" s="24"/>
      <c r="B10" s="35" t="str">
        <f>IF(AND(TAT_Sel_Direction&lt;&gt;"All",TAT_Sel_Direction&lt;&gt;TAT_Sel_DirEff),"Direction is not on this corridor: showing All directions.",IF(SUM(Calc!L21:M21)=0,"No trips match the current selection.","Results use the selected trip population."))</f>
        <v>Results use the selected trip population.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24"/>
    </row>
    <row r="11" spans="1:23" ht="20.100000000000001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ht="20.100000000000001" customHeight="1" x14ac:dyDescent="0.25">
      <c r="A12" s="24"/>
      <c r="B12" s="48" t="s">
        <v>706</v>
      </c>
      <c r="C12" s="48"/>
      <c r="D12" s="48"/>
      <c r="E12" s="48"/>
      <c r="F12" s="48"/>
      <c r="G12" s="48" t="s">
        <v>707</v>
      </c>
      <c r="H12" s="48"/>
      <c r="I12" s="48"/>
      <c r="J12" s="48"/>
      <c r="K12" s="48"/>
      <c r="L12" s="48" t="s">
        <v>708</v>
      </c>
      <c r="M12" s="48"/>
      <c r="N12" s="48"/>
      <c r="O12" s="48"/>
      <c r="P12" s="48"/>
      <c r="Q12" s="48" t="s">
        <v>709</v>
      </c>
      <c r="R12" s="48"/>
      <c r="S12" s="48"/>
      <c r="T12" s="48"/>
      <c r="U12" s="48"/>
      <c r="V12" s="48"/>
      <c r="W12" s="24"/>
    </row>
    <row r="13" spans="1:23" ht="20.100000000000001" customHeight="1" x14ac:dyDescent="0.25">
      <c r="A13" s="24"/>
      <c r="B13" s="52" t="str">
        <f>IF(AND(Calc!L21&gt;0,Calc!M21&gt;0),"EV "&amp;TEXT(Calc!L33,"0.000")&amp;"  |  Diesel "&amp;TEXT(Calc!M33,"0.000"),"Comparison unavailable")</f>
        <v>EV 0.930  |  Diesel 2.473</v>
      </c>
      <c r="C13" s="52"/>
      <c r="D13" s="52"/>
      <c r="E13" s="52"/>
      <c r="F13" s="52"/>
      <c r="G13" s="49" t="str">
        <f>IF(AND(Calc!L21&gt;0,Calc!M21&gt;0),"EV "&amp;TEXT(Calc!L37,"0.00")&amp;"  |  Diesel "&amp;TEXT(Calc!M37,"0.00"),"Comparison unavailable")</f>
        <v>EV 9.61  |  Diesel 22.81</v>
      </c>
      <c r="H13" s="49"/>
      <c r="I13" s="49"/>
      <c r="J13" s="49"/>
      <c r="K13" s="49"/>
      <c r="L13" s="49" t="str">
        <f>IF(AND(Calc!L21&gt;0,Calc!M21&gt;0),"EV "&amp;TEXT(Calc!L38,"0.000")&amp;"  |  Diesel "&amp;TEXT(Calc!M38,"0.000"),"Comparison unavailable")</f>
        <v>EV 0.718  |  Diesel 0.665</v>
      </c>
      <c r="M13" s="49"/>
      <c r="N13" s="49"/>
      <c r="O13" s="49"/>
      <c r="P13" s="49"/>
      <c r="Q13" s="47" t="str">
        <f>IF(AND(Calc!L21&gt;0,Calc!M21&gt;0),TEXT(Calc!L43,"0.0%"),"Comparison unavailable")</f>
        <v>62.4%</v>
      </c>
      <c r="R13" s="47"/>
      <c r="S13" s="47"/>
      <c r="T13" s="47"/>
      <c r="U13" s="47"/>
      <c r="V13" s="47"/>
      <c r="W13" s="24"/>
    </row>
    <row r="14" spans="1:23" ht="20.100000000000001" customHeight="1" x14ac:dyDescent="0.25">
      <c r="A14" s="24"/>
      <c r="B14" s="52"/>
      <c r="C14" s="52"/>
      <c r="D14" s="52"/>
      <c r="E14" s="52"/>
      <c r="F14" s="52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7"/>
      <c r="R14" s="47"/>
      <c r="S14" s="47"/>
      <c r="T14" s="47"/>
      <c r="U14" s="47"/>
      <c r="V14" s="47"/>
      <c r="W14" s="24"/>
    </row>
    <row r="15" spans="1:23" ht="20.100000000000001" customHeight="1" x14ac:dyDescent="0.25">
      <c r="A15" s="24"/>
      <c r="B15" s="52"/>
      <c r="C15" s="52"/>
      <c r="D15" s="52"/>
      <c r="E15" s="52"/>
      <c r="F15" s="52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7"/>
      <c r="R15" s="47"/>
      <c r="S15" s="47"/>
      <c r="T15" s="47"/>
      <c r="U15" s="47"/>
      <c r="V15" s="47"/>
      <c r="W15" s="24"/>
    </row>
    <row r="16" spans="1:23" ht="20.100000000000001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ht="20.100000000000001" customHeight="1" x14ac:dyDescent="0.25">
      <c r="A17" s="24"/>
      <c r="B17" s="48" t="s">
        <v>710</v>
      </c>
      <c r="C17" s="48"/>
      <c r="D17" s="48"/>
      <c r="E17" s="48"/>
      <c r="F17" s="48"/>
      <c r="G17" s="48" t="s">
        <v>711</v>
      </c>
      <c r="H17" s="48"/>
      <c r="I17" s="48"/>
      <c r="J17" s="48"/>
      <c r="K17" s="48"/>
      <c r="L17" s="48" t="s">
        <v>712</v>
      </c>
      <c r="M17" s="48"/>
      <c r="N17" s="48"/>
      <c r="O17" s="48"/>
      <c r="P17" s="48"/>
      <c r="Q17" s="48" t="s">
        <v>713</v>
      </c>
      <c r="R17" s="48"/>
      <c r="S17" s="48"/>
      <c r="T17" s="48"/>
      <c r="U17" s="48"/>
      <c r="V17" s="48"/>
      <c r="W17" s="24"/>
    </row>
    <row r="18" spans="1:23" ht="20.100000000000001" customHeight="1" x14ac:dyDescent="0.25">
      <c r="A18" s="24"/>
      <c r="B18" s="47" t="str">
        <f>IF(AND(Calc!L21&gt;0,Calc!M21&gt;0),TEXT(Calc!L44,"0.0%"),"Comparison unavailable")</f>
        <v>57.9%</v>
      </c>
      <c r="C18" s="47"/>
      <c r="D18" s="47"/>
      <c r="E18" s="47"/>
      <c r="F18" s="47"/>
      <c r="G18" s="49" t="str">
        <f>IF(AND(Calc!L21&gt;0,Calc!M21&gt;0),TEXT(Calc!L45,"0.0%"),"Comparison unavailable")</f>
        <v>-8.1%</v>
      </c>
      <c r="H18" s="49"/>
      <c r="I18" s="49"/>
      <c r="J18" s="49"/>
      <c r="K18" s="49"/>
      <c r="L18" s="49" t="str">
        <f>IF(AND(Calc!L21&gt;0,Calc!M21&gt;0),TEXT(Calc!L47,"+0.00;-0.00;0.00")&amp;" min","Comparison unavailable")</f>
        <v>+35.11 min</v>
      </c>
      <c r="M18" s="49"/>
      <c r="N18" s="49"/>
      <c r="O18" s="49"/>
      <c r="P18" s="49"/>
      <c r="Q18" s="49" t="str">
        <f>IF(AND(Calc!L21&gt;0,Calc!M21&gt;0),TEXT(Calc!L39-Calc!M39,"+0.00;-0.00;0.00")&amp;" min","Comparison unavailable")</f>
        <v>+29.49 min</v>
      </c>
      <c r="R18" s="49"/>
      <c r="S18" s="49"/>
      <c r="T18" s="49"/>
      <c r="U18" s="49"/>
      <c r="V18" s="49"/>
      <c r="W18" s="24"/>
    </row>
    <row r="19" spans="1:23" ht="20.100000000000001" customHeight="1" x14ac:dyDescent="0.25">
      <c r="A19" s="24"/>
      <c r="B19" s="47"/>
      <c r="C19" s="47"/>
      <c r="D19" s="47"/>
      <c r="E19" s="47"/>
      <c r="F19" s="47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24"/>
    </row>
    <row r="20" spans="1:23" ht="20.100000000000001" customHeight="1" x14ac:dyDescent="0.25">
      <c r="A20" s="24"/>
      <c r="B20" s="47"/>
      <c r="C20" s="47"/>
      <c r="D20" s="47"/>
      <c r="E20" s="47"/>
      <c r="F20" s="47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24"/>
    </row>
    <row r="21" spans="1:23" ht="20.100000000000001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ht="20.100000000000001" customHeight="1" x14ac:dyDescent="0.25">
      <c r="A22" s="24"/>
      <c r="B22" s="42" t="s">
        <v>714</v>
      </c>
      <c r="C22" s="42"/>
      <c r="D22" s="42"/>
      <c r="E22" s="42"/>
      <c r="F22" s="42"/>
      <c r="G22" s="42"/>
      <c r="H22" s="42"/>
      <c r="I22" s="42"/>
      <c r="J22" s="42"/>
      <c r="K22" s="24"/>
      <c r="L22" s="36" t="s">
        <v>723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4"/>
    </row>
    <row r="23" spans="1:23" ht="20.100000000000001" customHeight="1" x14ac:dyDescent="0.25">
      <c r="A23" s="24"/>
      <c r="B23" s="43" t="s">
        <v>715</v>
      </c>
      <c r="C23" s="43"/>
      <c r="D23" s="43"/>
      <c r="E23" s="44" t="s">
        <v>300</v>
      </c>
      <c r="F23" s="44"/>
      <c r="G23" s="44"/>
      <c r="H23" s="45" t="s">
        <v>457</v>
      </c>
      <c r="I23" s="45"/>
      <c r="J23" s="45"/>
      <c r="K23" s="24"/>
      <c r="L23" s="37" t="s">
        <v>59</v>
      </c>
      <c r="M23" s="37"/>
      <c r="N23" s="26" t="s">
        <v>724</v>
      </c>
      <c r="O23" s="37" t="s">
        <v>382</v>
      </c>
      <c r="P23" s="37"/>
      <c r="Q23" s="37" t="s">
        <v>38</v>
      </c>
      <c r="R23" s="37"/>
      <c r="S23" s="37"/>
      <c r="T23" s="26" t="s">
        <v>725</v>
      </c>
      <c r="U23" s="37" t="s">
        <v>726</v>
      </c>
      <c r="V23" s="37"/>
      <c r="W23" s="24"/>
    </row>
    <row r="24" spans="1:23" ht="29.1" customHeight="1" x14ac:dyDescent="0.25">
      <c r="A24" s="24"/>
      <c r="B24" s="38" t="s">
        <v>62</v>
      </c>
      <c r="C24" s="38"/>
      <c r="D24" s="38"/>
      <c r="E24" s="46">
        <f>Calc!L21</f>
        <v>7</v>
      </c>
      <c r="F24" s="46"/>
      <c r="G24" s="46"/>
      <c r="H24" s="46">
        <f>Calc!M21</f>
        <v>7</v>
      </c>
      <c r="I24" s="46"/>
      <c r="J24" s="46"/>
      <c r="K24" s="24"/>
      <c r="L24" s="32" t="str">
        <f>IF(ROWS(Trips[Trip ID])&gt;0,INDEX(Trips[Pair ID],ROWS(Trips[Trip ID])-0),"")</f>
        <v>PAIR_054</v>
      </c>
      <c r="M24" s="32"/>
      <c r="N24" s="27" t="str">
        <f>IF(ROWS(Trips[Trip ID])&gt;0,INDEX(Trips[Bus Type],ROWS(Trips[Trip ID])-0),"")</f>
        <v>Diesel</v>
      </c>
      <c r="O24" s="33">
        <f>IF(ROWS(Trips[Trip ID])&gt;0,INDEX(Trips[Date],ROWS(Trips[Trip ID])-0),"")</f>
        <v>46298</v>
      </c>
      <c r="P24" s="33"/>
      <c r="Q24" s="32" t="str">
        <f>IF(ROWS(Trips[Trip ID])&gt;0,INDEX(Trips[Direction],ROWS(Trips[Trip ID])-0),"")</f>
        <v>Madiwala → Maduravoyal</v>
      </c>
      <c r="R24" s="32"/>
      <c r="S24" s="32"/>
      <c r="T24" s="28">
        <f>IF(ROWS(Trips[Trip ID])&gt;0,INDEX(Trips[SEC (kWh/km)],ROWS(Trips[Trip ID])-0),"")</f>
        <v>2.1189967707401909</v>
      </c>
      <c r="U24" s="32" t="str">
        <f>IF(ROWS(Trips[Trip ID])&gt;0,INDEX(Trips[Data check],ROWS(Trips[Trip ID])-0),"")</f>
        <v>OK</v>
      </c>
      <c r="V24" s="32"/>
      <c r="W24" s="24"/>
    </row>
    <row r="25" spans="1:23" ht="29.1" customHeight="1" x14ac:dyDescent="0.25">
      <c r="A25" s="24"/>
      <c r="B25" s="38" t="s">
        <v>716</v>
      </c>
      <c r="C25" s="38"/>
      <c r="D25" s="38"/>
      <c r="E25" s="39">
        <f>IF(Calc!L21&gt;0,Calc!L22,"")</f>
        <v>2151.3211856308267</v>
      </c>
      <c r="F25" s="39"/>
      <c r="G25" s="39"/>
      <c r="H25" s="39">
        <f>IF(Calc!M21&gt;0,Calc!M22,"")</f>
        <v>2164.4612405009334</v>
      </c>
      <c r="I25" s="39"/>
      <c r="J25" s="39"/>
      <c r="K25" s="24"/>
      <c r="L25" s="32" t="str">
        <f>IF(ROWS(Trips[Trip ID])&gt;1,INDEX(Trips[Pair ID],ROWS(Trips[Trip ID])-1),"")</f>
        <v>PAIR_054</v>
      </c>
      <c r="M25" s="32"/>
      <c r="N25" s="27" t="str">
        <f>IF(ROWS(Trips[Trip ID])&gt;1,INDEX(Trips[Bus Type],ROWS(Trips[Trip ID])-1),"")</f>
        <v>EV</v>
      </c>
      <c r="O25" s="33">
        <f>IF(ROWS(Trips[Trip ID])&gt;1,INDEX(Trips[Date],ROWS(Trips[Trip ID])-1),"")</f>
        <v>46298</v>
      </c>
      <c r="P25" s="33"/>
      <c r="Q25" s="32" t="str">
        <f>IF(ROWS(Trips[Trip ID])&gt;1,INDEX(Trips[Direction],ROWS(Trips[Trip ID])-1),"")</f>
        <v>Madiwala → Maduravoyal</v>
      </c>
      <c r="R25" s="32"/>
      <c r="S25" s="32"/>
      <c r="T25" s="28">
        <f>IF(ROWS(Trips[Trip ID])&gt;1,INDEX(Trips[SEC (kWh/km)],ROWS(Trips[Trip ID])-1),"")</f>
        <v>0.88590384823460833</v>
      </c>
      <c r="U25" s="32" t="str">
        <f>IF(ROWS(Trips[Trip ID])&gt;1,INDEX(Trips[Data check],ROWS(Trips[Trip ID])-1),"")</f>
        <v>OK</v>
      </c>
      <c r="V25" s="32"/>
      <c r="W25" s="24"/>
    </row>
    <row r="26" spans="1:23" ht="29.1" customHeight="1" x14ac:dyDescent="0.25">
      <c r="A26" s="24"/>
      <c r="B26" s="38" t="s">
        <v>717</v>
      </c>
      <c r="C26" s="38"/>
      <c r="D26" s="38"/>
      <c r="E26" s="39">
        <f>IF(Calc!L21&gt;0,Calc!L23,"")</f>
        <v>2001.7465171925887</v>
      </c>
      <c r="F26" s="39"/>
      <c r="G26" s="39"/>
      <c r="H26" s="39">
        <f>IF(Calc!M21&gt;0,Calc!M23,"")</f>
        <v>5352.0533041729941</v>
      </c>
      <c r="I26" s="39"/>
      <c r="J26" s="39"/>
      <c r="K26" s="24"/>
      <c r="L26" s="32" t="str">
        <f>IF(ROWS(Trips[Trip ID])&gt;2,INDEX(Trips[Pair ID],ROWS(Trips[Trip ID])-2),"")</f>
        <v>PAIR_053</v>
      </c>
      <c r="M26" s="32"/>
      <c r="N26" s="27" t="str">
        <f>IF(ROWS(Trips[Trip ID])&gt;2,INDEX(Trips[Bus Type],ROWS(Trips[Trip ID])-2),"")</f>
        <v>Diesel</v>
      </c>
      <c r="O26" s="33">
        <f>IF(ROWS(Trips[Trip ID])&gt;2,INDEX(Trips[Date],ROWS(Trips[Trip ID])-2),"")</f>
        <v>46297</v>
      </c>
      <c r="P26" s="33"/>
      <c r="Q26" s="32" t="str">
        <f>IF(ROWS(Trips[Trip ID])&gt;2,INDEX(Trips[Direction],ROWS(Trips[Trip ID])-2),"")</f>
        <v>Maduravoyal → Madiwala</v>
      </c>
      <c r="R26" s="32"/>
      <c r="S26" s="32"/>
      <c r="T26" s="28">
        <f>IF(ROWS(Trips[Trip ID])&gt;2,INDEX(Trips[SEC (kWh/km)],ROWS(Trips[Trip ID])-2),"")</f>
        <v>2.7018004319856295</v>
      </c>
      <c r="U26" s="32" t="str">
        <f>IF(ROWS(Trips[Trip ID])&gt;2,INDEX(Trips[Data check],ROWS(Trips[Trip ID])-2),"")</f>
        <v>OK</v>
      </c>
      <c r="V26" s="32"/>
      <c r="W26" s="24"/>
    </row>
    <row r="27" spans="1:23" ht="29.1" customHeight="1" x14ac:dyDescent="0.25">
      <c r="A27" s="24"/>
      <c r="B27" s="38" t="s">
        <v>718</v>
      </c>
      <c r="C27" s="38"/>
      <c r="D27" s="38"/>
      <c r="E27" s="41">
        <f>IF(Calc!L21&gt;0,Calc!L34,"")</f>
        <v>1.0747220825182269</v>
      </c>
      <c r="F27" s="41"/>
      <c r="G27" s="41"/>
      <c r="H27" s="41">
        <f>IF(Calc!M21&gt;0,Calc!M34,"")</f>
        <v>0.40441698120108477</v>
      </c>
      <c r="I27" s="41"/>
      <c r="J27" s="41"/>
      <c r="K27" s="24"/>
      <c r="L27" s="32" t="str">
        <f>IF(ROWS(Trips[Trip ID])&gt;3,INDEX(Trips[Pair ID],ROWS(Trips[Trip ID])-3),"")</f>
        <v>PAIR_053</v>
      </c>
      <c r="M27" s="32"/>
      <c r="N27" s="27" t="str">
        <f>IF(ROWS(Trips[Trip ID])&gt;3,INDEX(Trips[Bus Type],ROWS(Trips[Trip ID])-3),"")</f>
        <v>EV</v>
      </c>
      <c r="O27" s="33">
        <f>IF(ROWS(Trips[Trip ID])&gt;3,INDEX(Trips[Date],ROWS(Trips[Trip ID])-3),"")</f>
        <v>46297</v>
      </c>
      <c r="P27" s="33"/>
      <c r="Q27" s="32" t="str">
        <f>IF(ROWS(Trips[Trip ID])&gt;3,INDEX(Trips[Direction],ROWS(Trips[Trip ID])-3),"")</f>
        <v>Maduravoyal → Madiwala</v>
      </c>
      <c r="R27" s="32"/>
      <c r="S27" s="32"/>
      <c r="T27" s="28">
        <f>IF(ROWS(Trips[Trip ID])&gt;3,INDEX(Trips[SEC (kWh/km)],ROWS(Trips[Trip ID])-3),"")</f>
        <v>1.1200742407941329</v>
      </c>
      <c r="U27" s="32" t="str">
        <f>IF(ROWS(Trips[Trip ID])&gt;3,INDEX(Trips[Data check],ROWS(Trips[Trip ID])-3),"")</f>
        <v>OK</v>
      </c>
      <c r="V27" s="32"/>
      <c r="W27" s="24"/>
    </row>
    <row r="28" spans="1:23" ht="29.1" customHeight="1" x14ac:dyDescent="0.25">
      <c r="A28" s="24"/>
      <c r="B28" s="38" t="s">
        <v>719</v>
      </c>
      <c r="C28" s="38"/>
      <c r="D28" s="38"/>
      <c r="E28" s="41" t="str">
        <f>IF(Calc!L21&gt;0,Calc!L35,"")</f>
        <v/>
      </c>
      <c r="F28" s="41"/>
      <c r="G28" s="41"/>
      <c r="H28" s="41">
        <f>IF(Calc!M21&gt;0,Calc!M35,"")</f>
        <v>4.0329360069774847</v>
      </c>
      <c r="I28" s="41"/>
      <c r="J28" s="41"/>
      <c r="K28" s="24"/>
      <c r="L28" s="32" t="str">
        <f>IF(ROWS(Trips[Trip ID])&gt;4,INDEX(Trips[Pair ID],ROWS(Trips[Trip ID])-4),"")</f>
        <v>PAIR_052</v>
      </c>
      <c r="M28" s="32"/>
      <c r="N28" s="27" t="str">
        <f>IF(ROWS(Trips[Trip ID])&gt;4,INDEX(Trips[Bus Type],ROWS(Trips[Trip ID])-4),"")</f>
        <v>Diesel</v>
      </c>
      <c r="O28" s="33">
        <f>IF(ROWS(Trips[Trip ID])&gt;4,INDEX(Trips[Date],ROWS(Trips[Trip ID])-4),"")</f>
        <v>46291</v>
      </c>
      <c r="P28" s="33"/>
      <c r="Q28" s="32" t="str">
        <f>IF(ROWS(Trips[Trip ID])&gt;4,INDEX(Trips[Direction],ROWS(Trips[Trip ID])-4),"")</f>
        <v>Pondicherry → Chennai</v>
      </c>
      <c r="R28" s="32"/>
      <c r="S28" s="32"/>
      <c r="T28" s="28">
        <f>IF(ROWS(Trips[Trip ID])&gt;4,INDEX(Trips[SEC (kWh/km)],ROWS(Trips[Trip ID])-4),"")</f>
        <v>2.3306050104593954</v>
      </c>
      <c r="U28" s="32" t="str">
        <f>IF(ROWS(Trips[Trip ID])&gt;4,INDEX(Trips[Data check],ROWS(Trips[Trip ID])-4),"")</f>
        <v>OK</v>
      </c>
      <c r="V28" s="32"/>
      <c r="W28" s="24"/>
    </row>
    <row r="29" spans="1:23" ht="29.1" customHeight="1" x14ac:dyDescent="0.25">
      <c r="A29" s="24"/>
      <c r="B29" s="38" t="s">
        <v>720</v>
      </c>
      <c r="C29" s="38"/>
      <c r="D29" s="38"/>
      <c r="E29" s="39">
        <f>IF(Calc!L21&gt;0,Calc!L40*60,"")</f>
        <v>354.06895714285713</v>
      </c>
      <c r="F29" s="39"/>
      <c r="G29" s="39"/>
      <c r="H29" s="39">
        <f>IF(Calc!M21&gt;0,Calc!M40*60,"")</f>
        <v>318.95671428571427</v>
      </c>
      <c r="I29" s="39"/>
      <c r="J29" s="39"/>
      <c r="K29" s="24"/>
      <c r="L29" s="32" t="str">
        <f>IF(ROWS(Trips[Trip ID])&gt;5,INDEX(Trips[Pair ID],ROWS(Trips[Trip ID])-5),"")</f>
        <v>PAIR_052</v>
      </c>
      <c r="M29" s="32"/>
      <c r="N29" s="27" t="str">
        <f>IF(ROWS(Trips[Trip ID])&gt;5,INDEX(Trips[Bus Type],ROWS(Trips[Trip ID])-5),"")</f>
        <v>EV</v>
      </c>
      <c r="O29" s="33">
        <f>IF(ROWS(Trips[Trip ID])&gt;5,INDEX(Trips[Date],ROWS(Trips[Trip ID])-5),"")</f>
        <v>46291</v>
      </c>
      <c r="P29" s="33"/>
      <c r="Q29" s="32" t="str">
        <f>IF(ROWS(Trips[Trip ID])&gt;5,INDEX(Trips[Direction],ROWS(Trips[Trip ID])-5),"")</f>
        <v>Pondicherry → Chennai</v>
      </c>
      <c r="R29" s="32"/>
      <c r="S29" s="32"/>
      <c r="T29" s="28">
        <f>IF(ROWS(Trips[Trip ID])&gt;5,INDEX(Trips[SEC (kWh/km)],ROWS(Trips[Trip ID])-5),"")</f>
        <v>0.97446719913086011</v>
      </c>
      <c r="U29" s="32" t="str">
        <f>IF(ROWS(Trips[Trip ID])&gt;5,INDEX(Trips[Data check],ROWS(Trips[Trip ID])-5),"")</f>
        <v>OK</v>
      </c>
      <c r="V29" s="32"/>
      <c r="W29" s="24"/>
    </row>
    <row r="30" spans="1:23" ht="29.1" customHeight="1" x14ac:dyDescent="0.25">
      <c r="A30" s="24"/>
      <c r="B30" s="38" t="s">
        <v>721</v>
      </c>
      <c r="C30" s="38"/>
      <c r="D30" s="38"/>
      <c r="E30" s="39">
        <f>IF(Calc!L21&gt;0,Calc!L39,"")</f>
        <v>29.488095238095237</v>
      </c>
      <c r="F30" s="39"/>
      <c r="G30" s="39"/>
      <c r="H30" s="39">
        <f>IF(Calc!M21&gt;0,Calc!M39,"")</f>
        <v>0</v>
      </c>
      <c r="I30" s="39"/>
      <c r="J30" s="39"/>
      <c r="K30" s="24"/>
      <c r="L30" s="32" t="str">
        <f>IF(ROWS(Trips[Trip ID])&gt;6,INDEX(Trips[Pair ID],ROWS(Trips[Trip ID])-6),"")</f>
        <v>PAIR_051</v>
      </c>
      <c r="M30" s="32"/>
      <c r="N30" s="27" t="str">
        <f>IF(ROWS(Trips[Trip ID])&gt;6,INDEX(Trips[Bus Type],ROWS(Trips[Trip ID])-6),"")</f>
        <v>Diesel</v>
      </c>
      <c r="O30" s="33">
        <f>IF(ROWS(Trips[Trip ID])&gt;6,INDEX(Trips[Date],ROWS(Trips[Trip ID])-6),"")</f>
        <v>46290</v>
      </c>
      <c r="P30" s="33"/>
      <c r="Q30" s="32" t="str">
        <f>IF(ROWS(Trips[Trip ID])&gt;6,INDEX(Trips[Direction],ROWS(Trips[Trip ID])-6),"")</f>
        <v>Chennai → Pondicherry</v>
      </c>
      <c r="R30" s="32"/>
      <c r="S30" s="32"/>
      <c r="T30" s="28">
        <f>IF(ROWS(Trips[Trip ID])&gt;6,INDEX(Trips[SEC (kWh/km)],ROWS(Trips[Trip ID])-6),"")</f>
        <v>2.4438757735100562</v>
      </c>
      <c r="U30" s="32" t="str">
        <f>IF(ROWS(Trips[Trip ID])&gt;6,INDEX(Trips[Data check],ROWS(Trips[Trip ID])-6),"")</f>
        <v>OK</v>
      </c>
      <c r="V30" s="32"/>
      <c r="W30" s="24"/>
    </row>
    <row r="31" spans="1:23" ht="29.1" customHeight="1" x14ac:dyDescent="0.25">
      <c r="A31" s="24"/>
      <c r="B31" s="38" t="s">
        <v>722</v>
      </c>
      <c r="C31" s="38"/>
      <c r="D31" s="38"/>
      <c r="E31" s="39">
        <f>IF(Calc!L21&gt;0,Calc!L42,"")</f>
        <v>56.811408314783101</v>
      </c>
      <c r="F31" s="39"/>
      <c r="G31" s="39"/>
      <c r="H31" s="39">
        <f>IF(Calc!M21&gt;0,Calc!M42,"")</f>
        <v>58.166278017149665</v>
      </c>
      <c r="I31" s="39"/>
      <c r="J31" s="39"/>
      <c r="K31" s="24"/>
      <c r="L31" s="32" t="str">
        <f>IF(ROWS(Trips[Trip ID])&gt;7,INDEX(Trips[Pair ID],ROWS(Trips[Trip ID])-7),"")</f>
        <v>PAIR_051</v>
      </c>
      <c r="M31" s="32"/>
      <c r="N31" s="27" t="str">
        <f>IF(ROWS(Trips[Trip ID])&gt;7,INDEX(Trips[Bus Type],ROWS(Trips[Trip ID])-7),"")</f>
        <v>EV</v>
      </c>
      <c r="O31" s="33">
        <f>IF(ROWS(Trips[Trip ID])&gt;7,INDEX(Trips[Date],ROWS(Trips[Trip ID])-7),"")</f>
        <v>46290</v>
      </c>
      <c r="P31" s="33"/>
      <c r="Q31" s="32" t="str">
        <f>IF(ROWS(Trips[Trip ID])&gt;7,INDEX(Trips[Direction],ROWS(Trips[Trip ID])-7),"")</f>
        <v>Chennai → Pondicherry</v>
      </c>
      <c r="R31" s="32"/>
      <c r="S31" s="32"/>
      <c r="T31" s="28">
        <f>IF(ROWS(Trips[Trip ID])&gt;7,INDEX(Trips[SEC (kWh/km)],ROWS(Trips[Trip ID])-7),"")</f>
        <v>0.97394185939393618</v>
      </c>
      <c r="U31" s="32" t="str">
        <f>IF(ROWS(Trips[Trip ID])&gt;7,INDEX(Trips[Data check],ROWS(Trips[Trip ID])-7),"")</f>
        <v>OK</v>
      </c>
      <c r="V31" s="32"/>
      <c r="W31" s="24"/>
    </row>
    <row r="32" spans="1:23" ht="29.1" customHeight="1" x14ac:dyDescent="0.25">
      <c r="A32" s="24"/>
      <c r="B32" s="38" t="s">
        <v>671</v>
      </c>
      <c r="C32" s="38"/>
      <c r="D32" s="38"/>
      <c r="E32" s="40">
        <f>IF(Calc!L21&gt;0,Calc!L36,"")</f>
        <v>0.77479927942466165</v>
      </c>
      <c r="F32" s="40"/>
      <c r="G32" s="40"/>
      <c r="H32" s="40">
        <f>IF(Calc!M21&gt;0,Calc!M36,"")</f>
        <v>0.26986466684796778</v>
      </c>
      <c r="I32" s="40"/>
      <c r="J32" s="40"/>
      <c r="K32" s="24"/>
      <c r="L32" s="32" t="str">
        <f>IF(ROWS(Trips[Trip ID])&gt;8,INDEX(Trips[Pair ID],ROWS(Trips[Trip ID])-8),"")</f>
        <v>PAIR_050</v>
      </c>
      <c r="M32" s="32"/>
      <c r="N32" s="27" t="str">
        <f>IF(ROWS(Trips[Trip ID])&gt;8,INDEX(Trips[Bus Type],ROWS(Trips[Trip ID])-8),"")</f>
        <v>Diesel</v>
      </c>
      <c r="O32" s="33">
        <f>IF(ROWS(Trips[Trip ID])&gt;8,INDEX(Trips[Date],ROWS(Trips[Trip ID])-8),"")</f>
        <v>46285</v>
      </c>
      <c r="P32" s="33"/>
      <c r="Q32" s="32" t="str">
        <f>IF(ROWS(Trips[Trip ID])&gt;8,INDEX(Trips[Direction],ROWS(Trips[Trip ID])-8),"")</f>
        <v>Madiwala → Maduravoyal</v>
      </c>
      <c r="R32" s="32"/>
      <c r="S32" s="32"/>
      <c r="T32" s="28">
        <f>IF(ROWS(Trips[Trip ID])&gt;8,INDEX(Trips[SEC (kWh/km)],ROWS(Trips[Trip ID])-8),"")</f>
        <v>2.4001549248628851</v>
      </c>
      <c r="U32" s="32" t="str">
        <f>IF(ROWS(Trips[Trip ID])&gt;8,INDEX(Trips[Data check],ROWS(Trips[Trip ID])-8),"")</f>
        <v>OK</v>
      </c>
      <c r="V32" s="32"/>
      <c r="W32" s="24"/>
    </row>
    <row r="33" spans="1:23" ht="29.1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32" t="str">
        <f>IF(ROWS(Trips[Trip ID])&gt;9,INDEX(Trips[Pair ID],ROWS(Trips[Trip ID])-9),"")</f>
        <v>PAIR_050</v>
      </c>
      <c r="M33" s="32"/>
      <c r="N33" s="27" t="str">
        <f>IF(ROWS(Trips[Trip ID])&gt;9,INDEX(Trips[Bus Type],ROWS(Trips[Trip ID])-9),"")</f>
        <v>EV</v>
      </c>
      <c r="O33" s="33">
        <f>IF(ROWS(Trips[Trip ID])&gt;9,INDEX(Trips[Date],ROWS(Trips[Trip ID])-9),"")</f>
        <v>46298</v>
      </c>
      <c r="P33" s="33"/>
      <c r="Q33" s="32" t="str">
        <f>IF(ROWS(Trips[Trip ID])&gt;9,INDEX(Trips[Direction],ROWS(Trips[Trip ID])-9),"")</f>
        <v>Madiwala → Maduravoyal</v>
      </c>
      <c r="R33" s="32"/>
      <c r="S33" s="32"/>
      <c r="T33" s="28">
        <f>IF(ROWS(Trips[Trip ID])&gt;9,INDEX(Trips[SEC (kWh/km)],ROWS(Trips[Trip ID])-9),"")</f>
        <v>0.88526971407272359</v>
      </c>
      <c r="U33" s="32" t="str">
        <f>IF(ROWS(Trips[Trip ID])&gt;9,INDEX(Trips[Data check],ROWS(Trips[Trip ID])-9),"")</f>
        <v>OK</v>
      </c>
      <c r="V33" s="32"/>
      <c r="W33" s="24"/>
    </row>
    <row r="34" spans="1:23" ht="20.100000000000001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 spans="1:23" ht="20.100000000000001" customHeight="1" x14ac:dyDescent="0.25">
      <c r="A35" s="24"/>
      <c r="B35" s="34" t="str">
        <f>"Source rows: "&amp;ROWS(Trips[Trip ID])&amp;"   |   Latest date: "&amp;TEXT(MAX(Trips[Date]),"dd-mmm-yyyy")&amp;"   |   Failed checks: "&amp;COUNTIF(Trips[Data check],"&lt;&gt;OK")&amp;"   |   Measured trips EV/Diesel: "&amp;Calc!L48&amp;"/"&amp;Calc!M48&amp;"   |   Calibration factors: "&amp;TEXT(TAT_CF_EV,"0.000")&amp;"/"&amp;TEXT(TAT_CF_D,"0.000")</f>
        <v>Source rows: 108   |   Latest date: 03-Oct-2026   |   Failed checks: 0   |   Measured trips EV/Diesel: 0/0   |   Calibration factors: 1.000/1.000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24"/>
    </row>
    <row r="36" spans="1:23" ht="20.100000000000001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3" ht="20.100000000000001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3" ht="20.100000000000001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3" ht="20.100000000000001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3" ht="20.100000000000001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3" ht="20.100000000000001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3" ht="20.100000000000001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3" ht="20.100000000000001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ht="20.100000000000001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3" ht="20.100000000000001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3" ht="20.100000000000001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3" ht="20.100000000000001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ht="20.100000000000001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ht="20.100000000000001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ht="20.100000000000001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ht="20.100000000000001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ht="20.100000000000001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ht="20.100000000000001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ht="20.100000000000001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ht="20.100000000000001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ht="20.100000000000001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ht="20.100000000000001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ht="20.100000000000001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ht="20.100000000000001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ht="20.100000000000001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ht="20.100000000000001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ht="20.100000000000001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ht="20.100000000000001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ht="20.100000000000001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ht="20.100000000000001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ht="20.100000000000001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ht="20.100000000000001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ht="20.100000000000001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ht="20.100000000000001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ht="20.100000000000001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ht="20.100000000000001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ht="20.100000000000001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ht="20.100000000000001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ht="20.100000000000001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spans="1:23" ht="20.100000000000001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spans="1:23" ht="20.100000000000001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3" ht="20.100000000000001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spans="1:23" ht="20.100000000000001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spans="1:23" ht="20.100000000000001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spans="1:23" ht="20.100000000000001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spans="1:23" ht="20.100000000000001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spans="1:23" ht="20.100000000000001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spans="1:23" ht="20.100000000000001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spans="1:23" ht="20.100000000000001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spans="1:23" ht="20.100000000000001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spans="1:23" ht="20.100000000000001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spans="1:23" ht="20.100000000000001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</row>
    <row r="88" spans="1:23" ht="20.100000000000001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 spans="1:23" ht="20.100000000000001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</row>
    <row r="90" spans="1:23" ht="20.100000000000001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</row>
    <row r="91" spans="1:23" ht="20.100000000000001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 spans="1:23" ht="20.100000000000001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 spans="1:23" ht="20.100000000000001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spans="1:23" ht="20.100000000000001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 spans="1:23" ht="20.100000000000001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spans="1:23" ht="20.100000000000001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 spans="1:23" ht="20.100000000000001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 spans="1:23" ht="20.100000000000001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spans="1:23" ht="20.100000000000001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spans="1:23" ht="20.100000000000001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 spans="1:23" ht="20.100000000000001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 spans="1:23" ht="20.100000000000001" customHeight="1" x14ac:dyDescent="0.25">
      <c r="A102" s="24"/>
      <c r="B102" s="35" t="s">
        <v>727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24"/>
    </row>
    <row r="103" spans="1:23" ht="20.100000000000001" customHeight="1" x14ac:dyDescent="0.25">
      <c r="A103" s="2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24"/>
    </row>
  </sheetData>
  <mergeCells count="107">
    <mergeCell ref="B2:V3"/>
    <mergeCell ref="B4:V4"/>
    <mergeCell ref="B7:E7"/>
    <mergeCell ref="B8:E9"/>
    <mergeCell ref="F7:I7"/>
    <mergeCell ref="F8:I9"/>
    <mergeCell ref="J7:L7"/>
    <mergeCell ref="J8:L9"/>
    <mergeCell ref="M7:P7"/>
    <mergeCell ref="M8:P9"/>
    <mergeCell ref="Q7:V7"/>
    <mergeCell ref="Q8:V9"/>
    <mergeCell ref="B10:V10"/>
    <mergeCell ref="B12:F12"/>
    <mergeCell ref="B13:F15"/>
    <mergeCell ref="G12:K12"/>
    <mergeCell ref="G13:K15"/>
    <mergeCell ref="L12:P12"/>
    <mergeCell ref="L13:P15"/>
    <mergeCell ref="Q12:V12"/>
    <mergeCell ref="Q13:V15"/>
    <mergeCell ref="B17:F17"/>
    <mergeCell ref="B18:F20"/>
    <mergeCell ref="G17:K17"/>
    <mergeCell ref="G18:K20"/>
    <mergeCell ref="L17:P17"/>
    <mergeCell ref="L18:P20"/>
    <mergeCell ref="Q17:V17"/>
    <mergeCell ref="Q18:V20"/>
    <mergeCell ref="B25:D25"/>
    <mergeCell ref="E25:G25"/>
    <mergeCell ref="H25:J25"/>
    <mergeCell ref="B26:D26"/>
    <mergeCell ref="E26:G26"/>
    <mergeCell ref="H26:J26"/>
    <mergeCell ref="B22:J22"/>
    <mergeCell ref="B23:D23"/>
    <mergeCell ref="E23:G23"/>
    <mergeCell ref="H23:J23"/>
    <mergeCell ref="B24:D24"/>
    <mergeCell ref="E24:G24"/>
    <mergeCell ref="H24:J24"/>
    <mergeCell ref="B29:D29"/>
    <mergeCell ref="E29:G29"/>
    <mergeCell ref="H29:J29"/>
    <mergeCell ref="B30:D30"/>
    <mergeCell ref="E30:G30"/>
    <mergeCell ref="H30:J30"/>
    <mergeCell ref="B27:D27"/>
    <mergeCell ref="E27:G27"/>
    <mergeCell ref="H27:J27"/>
    <mergeCell ref="B28:D28"/>
    <mergeCell ref="E28:G28"/>
    <mergeCell ref="H28:J28"/>
    <mergeCell ref="L25:M25"/>
    <mergeCell ref="O25:P25"/>
    <mergeCell ref="Q25:S25"/>
    <mergeCell ref="U25:V25"/>
    <mergeCell ref="L26:M26"/>
    <mergeCell ref="O26:P26"/>
    <mergeCell ref="Q26:S26"/>
    <mergeCell ref="U26:V26"/>
    <mergeCell ref="L22:V22"/>
    <mergeCell ref="L23:M23"/>
    <mergeCell ref="O23:P23"/>
    <mergeCell ref="Q23:S23"/>
    <mergeCell ref="U23:V23"/>
    <mergeCell ref="L24:M24"/>
    <mergeCell ref="O24:P24"/>
    <mergeCell ref="Q24:S24"/>
    <mergeCell ref="U24:V24"/>
    <mergeCell ref="L29:M29"/>
    <mergeCell ref="O29:P29"/>
    <mergeCell ref="Q29:S29"/>
    <mergeCell ref="U29:V29"/>
    <mergeCell ref="L30:M30"/>
    <mergeCell ref="O30:P30"/>
    <mergeCell ref="Q30:S30"/>
    <mergeCell ref="U30:V30"/>
    <mergeCell ref="L27:M27"/>
    <mergeCell ref="O27:P27"/>
    <mergeCell ref="Q27:S27"/>
    <mergeCell ref="U27:V27"/>
    <mergeCell ref="L28:M28"/>
    <mergeCell ref="O28:P28"/>
    <mergeCell ref="Q28:S28"/>
    <mergeCell ref="U28:V28"/>
    <mergeCell ref="L33:M33"/>
    <mergeCell ref="O33:P33"/>
    <mergeCell ref="Q33:S33"/>
    <mergeCell ref="U33:V33"/>
    <mergeCell ref="B35:V35"/>
    <mergeCell ref="B102:V103"/>
    <mergeCell ref="L31:M31"/>
    <mergeCell ref="O31:P31"/>
    <mergeCell ref="Q31:S31"/>
    <mergeCell ref="U31:V31"/>
    <mergeCell ref="L32:M32"/>
    <mergeCell ref="O32:P32"/>
    <mergeCell ref="Q32:S32"/>
    <mergeCell ref="U32:V32"/>
    <mergeCell ref="B31:D31"/>
    <mergeCell ref="E31:G31"/>
    <mergeCell ref="H31:J31"/>
    <mergeCell ref="B32:D32"/>
    <mergeCell ref="E32:G32"/>
    <mergeCell ref="H32:J32"/>
  </mergeCells>
  <dataValidations count="5">
    <dataValidation type="list" allowBlank="1" showInputMessage="1" showErrorMessage="1" errorTitle="Select a listed value" error="Use the dropdown list." sqref="B8:E9">
      <formula1>TAT_L_Corr</formula1>
    </dataValidation>
    <dataValidation type="list" allowBlank="1" showInputMessage="1" showErrorMessage="1" errorTitle="Select a listed value" error="Use the dropdown list." sqref="F8:I9">
      <formula1>TAT_L_Dir</formula1>
    </dataValidation>
    <dataValidation type="list" allowBlank="1" showInputMessage="1" showErrorMessage="1" errorTitle="Select a listed value" error="Use the dropdown list." sqref="J8:L9">
      <formula1>TAT_L_Month</formula1>
    </dataValidation>
    <dataValidation type="list" allowBlank="1" showInputMessage="1" showErrorMessage="1" errorTitle="Select a listed value" error="Use the dropdown list." sqref="M8:P9">
      <formula1>TAT_L_Basis</formula1>
    </dataValidation>
    <dataValidation type="list" allowBlank="1" showInputMessage="1" showErrorMessage="1" errorTitle="Select a listed value" error="Use the dropdown list." sqref="Q8:V9">
      <formula1>TAT_L_Metric</formula1>
    </dataValidation>
  </dataValidations>
  <hyperlinks>
    <hyperlink ref="B5" location="'Trip_Input'!A1" display="'Trip_Input'!A1"/>
    <hyperlink ref="F5" location="'Model'!A1" display="'Model'!A1"/>
    <hyperlink ref="K5" location="'Model'!A80" display="'Model'!A80"/>
    <hyperlink ref="Q5" location="'01_All_Pairs'!A1" display="'01_All_Pairs'!A1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5" x14ac:dyDescent="0.25"/>
  <cols>
    <col min="1" max="1" width="20" customWidth="1"/>
    <col min="2" max="2" width="34" customWidth="1"/>
    <col min="3" max="3" width="14" customWidth="1"/>
    <col min="4" max="4" width="26" customWidth="1"/>
    <col min="6" max="6" width="22" customWidth="1"/>
    <col min="7" max="7" width="50" customWidth="1"/>
  </cols>
  <sheetData>
    <row r="1" spans="1:7" ht="26.25" x14ac:dyDescent="0.4">
      <c r="A1" s="1" t="s">
        <v>0</v>
      </c>
    </row>
    <row r="3" spans="1:7" ht="17.25" x14ac:dyDescent="0.3">
      <c r="A3" t="s">
        <v>1</v>
      </c>
      <c r="B3" t="s">
        <v>2</v>
      </c>
      <c r="F3" s="2" t="s">
        <v>3</v>
      </c>
    </row>
    <row r="4" spans="1:7" x14ac:dyDescent="0.25">
      <c r="A4" t="s">
        <v>4</v>
      </c>
      <c r="B4">
        <v>54</v>
      </c>
      <c r="F4" s="3" t="s">
        <v>5</v>
      </c>
      <c r="G4" t="s">
        <v>6</v>
      </c>
    </row>
    <row r="5" spans="1:7" x14ac:dyDescent="0.25">
      <c r="A5" t="s">
        <v>7</v>
      </c>
      <c r="B5">
        <v>54</v>
      </c>
      <c r="F5" s="3" t="s">
        <v>8</v>
      </c>
      <c r="G5" t="s">
        <v>9</v>
      </c>
    </row>
    <row r="6" spans="1:7" x14ac:dyDescent="0.25">
      <c r="A6" t="s">
        <v>10</v>
      </c>
      <c r="B6">
        <v>13</v>
      </c>
      <c r="F6" s="3" t="s">
        <v>11</v>
      </c>
      <c r="G6" t="s">
        <v>12</v>
      </c>
    </row>
    <row r="7" spans="1:7" x14ac:dyDescent="0.25">
      <c r="A7" t="s">
        <v>13</v>
      </c>
      <c r="B7">
        <v>15</v>
      </c>
      <c r="F7" s="3" t="s">
        <v>14</v>
      </c>
      <c r="G7" t="s">
        <v>15</v>
      </c>
    </row>
    <row r="8" spans="1:7" x14ac:dyDescent="0.25">
      <c r="F8" s="3" t="s">
        <v>16</v>
      </c>
      <c r="G8" t="s">
        <v>17</v>
      </c>
    </row>
    <row r="9" spans="1:7" x14ac:dyDescent="0.25">
      <c r="F9" s="3" t="s">
        <v>18</v>
      </c>
      <c r="G9" t="s">
        <v>17</v>
      </c>
    </row>
    <row r="10" spans="1:7" ht="27.95" customHeight="1" x14ac:dyDescent="0.25">
      <c r="A10" s="55" t="s">
        <v>19</v>
      </c>
      <c r="B10" s="56"/>
      <c r="C10" s="56"/>
      <c r="D10" s="56"/>
      <c r="E10" s="56"/>
      <c r="F10" s="3" t="s">
        <v>20</v>
      </c>
      <c r="G10" t="s">
        <v>21</v>
      </c>
    </row>
    <row r="11" spans="1:7" ht="3.95" customHeight="1" x14ac:dyDescent="0.25">
      <c r="A11" s="4"/>
      <c r="B11" s="4"/>
      <c r="C11" s="4"/>
      <c r="D11" s="4"/>
      <c r="E11" s="4"/>
      <c r="F11" s="3" t="s">
        <v>22</v>
      </c>
      <c r="G11" t="s">
        <v>23</v>
      </c>
    </row>
    <row r="13" spans="1:7" x14ac:dyDescent="0.25">
      <c r="A13" s="5" t="s">
        <v>24</v>
      </c>
      <c r="B13" s="5" t="s">
        <v>25</v>
      </c>
      <c r="C13" s="5" t="s">
        <v>26</v>
      </c>
      <c r="D13" s="5" t="s">
        <v>27</v>
      </c>
    </row>
    <row r="14" spans="1:7" ht="15.75" x14ac:dyDescent="0.25">
      <c r="A14" s="6" t="s">
        <v>28</v>
      </c>
      <c r="B14" s="6" t="s">
        <v>29</v>
      </c>
      <c r="C14" s="6">
        <v>32</v>
      </c>
      <c r="D14" s="7" t="s">
        <v>30</v>
      </c>
    </row>
    <row r="15" spans="1:7" ht="15.75" x14ac:dyDescent="0.25">
      <c r="A15" s="8" t="s">
        <v>28</v>
      </c>
      <c r="B15" s="8" t="s">
        <v>31</v>
      </c>
      <c r="C15" s="8">
        <v>6</v>
      </c>
      <c r="D15" s="7" t="s">
        <v>32</v>
      </c>
    </row>
    <row r="16" spans="1:7" ht="15.75" x14ac:dyDescent="0.25">
      <c r="A16" s="6" t="s">
        <v>28</v>
      </c>
      <c r="B16" s="6" t="s">
        <v>33</v>
      </c>
      <c r="C16" s="6">
        <v>9</v>
      </c>
      <c r="D16" s="7" t="s">
        <v>34</v>
      </c>
    </row>
    <row r="17" spans="1:5" ht="15.75" x14ac:dyDescent="0.25">
      <c r="A17" s="8" t="s">
        <v>28</v>
      </c>
      <c r="B17" s="8" t="s">
        <v>35</v>
      </c>
      <c r="C17" s="8">
        <v>7</v>
      </c>
      <c r="D17" s="7" t="s">
        <v>36</v>
      </c>
    </row>
    <row r="21" spans="1:5" ht="27.95" customHeight="1" x14ac:dyDescent="0.25">
      <c r="A21" s="55" t="s">
        <v>37</v>
      </c>
      <c r="B21" s="56"/>
      <c r="C21" s="56"/>
      <c r="D21" s="56"/>
      <c r="E21" s="56"/>
    </row>
    <row r="22" spans="1:5" ht="3.95" customHeight="1" x14ac:dyDescent="0.25">
      <c r="A22" s="4"/>
      <c r="B22" s="4"/>
      <c r="C22" s="4"/>
      <c r="D22" s="4"/>
      <c r="E22" s="4"/>
    </row>
    <row r="24" spans="1:5" x14ac:dyDescent="0.25">
      <c r="A24" s="5" t="s">
        <v>38</v>
      </c>
      <c r="B24" s="5" t="s">
        <v>39</v>
      </c>
      <c r="C24" s="5" t="s">
        <v>26</v>
      </c>
      <c r="D24" s="5" t="s">
        <v>40</v>
      </c>
    </row>
    <row r="25" spans="1:5" ht="30" x14ac:dyDescent="0.25">
      <c r="A25" s="6" t="s">
        <v>41</v>
      </c>
      <c r="B25" s="6" t="s">
        <v>42</v>
      </c>
      <c r="C25" s="6">
        <v>4</v>
      </c>
      <c r="D25" s="7" t="s">
        <v>43</v>
      </c>
    </row>
    <row r="26" spans="1:5" ht="30" x14ac:dyDescent="0.25">
      <c r="A26" s="8" t="s">
        <v>41</v>
      </c>
      <c r="B26" s="8" t="s">
        <v>44</v>
      </c>
      <c r="C26" s="8">
        <v>12</v>
      </c>
      <c r="D26" s="7" t="s">
        <v>45</v>
      </c>
    </row>
    <row r="27" spans="1:5" ht="30" x14ac:dyDescent="0.25">
      <c r="A27" s="6" t="s">
        <v>31</v>
      </c>
      <c r="B27" s="6" t="s">
        <v>42</v>
      </c>
      <c r="C27" s="6">
        <v>2</v>
      </c>
      <c r="D27" s="7" t="s">
        <v>46</v>
      </c>
    </row>
    <row r="28" spans="1:5" ht="30" x14ac:dyDescent="0.25">
      <c r="A28" s="8" t="s">
        <v>31</v>
      </c>
      <c r="B28" s="8" t="s">
        <v>44</v>
      </c>
      <c r="C28" s="8">
        <v>4</v>
      </c>
      <c r="D28" s="7" t="s">
        <v>47</v>
      </c>
    </row>
    <row r="29" spans="1:5" ht="30" x14ac:dyDescent="0.25">
      <c r="A29" s="6" t="s">
        <v>33</v>
      </c>
      <c r="B29" s="6" t="s">
        <v>42</v>
      </c>
      <c r="C29" s="6">
        <v>3</v>
      </c>
      <c r="D29" s="7" t="s">
        <v>48</v>
      </c>
    </row>
    <row r="30" spans="1:5" ht="30" x14ac:dyDescent="0.25">
      <c r="A30" s="8" t="s">
        <v>33</v>
      </c>
      <c r="B30" s="8" t="s">
        <v>44</v>
      </c>
      <c r="C30" s="8">
        <v>6</v>
      </c>
      <c r="D30" s="7" t="s">
        <v>49</v>
      </c>
    </row>
    <row r="31" spans="1:5" ht="30" x14ac:dyDescent="0.25">
      <c r="A31" s="6" t="s">
        <v>50</v>
      </c>
      <c r="B31" s="6" t="s">
        <v>44</v>
      </c>
      <c r="C31" s="6">
        <v>2</v>
      </c>
      <c r="D31" s="7" t="s">
        <v>51</v>
      </c>
    </row>
    <row r="32" spans="1:5" ht="30" x14ac:dyDescent="0.25">
      <c r="A32" s="8" t="s">
        <v>52</v>
      </c>
      <c r="B32" s="8" t="s">
        <v>42</v>
      </c>
      <c r="C32" s="8">
        <v>4</v>
      </c>
      <c r="D32" s="7" t="s">
        <v>53</v>
      </c>
    </row>
    <row r="33" spans="1:4" ht="30" x14ac:dyDescent="0.25">
      <c r="A33" s="6" t="s">
        <v>52</v>
      </c>
      <c r="B33" s="6" t="s">
        <v>44</v>
      </c>
      <c r="C33" s="6">
        <v>12</v>
      </c>
      <c r="D33" s="7" t="s">
        <v>54</v>
      </c>
    </row>
    <row r="34" spans="1:4" ht="30" x14ac:dyDescent="0.25">
      <c r="A34" s="8" t="s">
        <v>55</v>
      </c>
      <c r="B34" s="8" t="s">
        <v>42</v>
      </c>
      <c r="C34" s="8">
        <v>1</v>
      </c>
      <c r="D34" s="7" t="s">
        <v>56</v>
      </c>
    </row>
    <row r="35" spans="1:4" ht="30" x14ac:dyDescent="0.25">
      <c r="A35" s="6" t="s">
        <v>55</v>
      </c>
      <c r="B35" s="6" t="s">
        <v>44</v>
      </c>
      <c r="C35" s="6">
        <v>4</v>
      </c>
      <c r="D35" s="7" t="s">
        <v>57</v>
      </c>
    </row>
  </sheetData>
  <mergeCells count="2">
    <mergeCell ref="A21:E21"/>
    <mergeCell ref="A10:E10"/>
  </mergeCells>
  <hyperlinks>
    <hyperlink ref="D14" location="'R01_Chennai_Pondicherry'!A1" display="R01_Chennai_Pondicherry"/>
    <hyperlink ref="D15" location="'R02_Madhuravoyal_to_Madiwala'!A1" display="R02_Madhuravoyal_to_Madiwala"/>
    <hyperlink ref="D16" location="'R03_Madiwala_to_Madhuravoyal'!A1" display="R03_Madiwala_to_Madhuravoyal"/>
    <hyperlink ref="D17" location="'R04_Maduravoyal_Silk_Board'!A1" display="R04_Maduravoyal_Silk_Board"/>
    <hyperlink ref="D25" location="'D01_Chennai_to_Pondicherry_STRI'!A1" display="D01_Chennai_to_Pondicherry_STRI"/>
    <hyperlink ref="D26" location="'D02_Chennai_to_Pondicherry_NONS'!A1" display="D02_Chennai_to_Pondicherry_NONS"/>
    <hyperlink ref="D27" location="'D03_Madhuravoyal_to_Madiwala_ST'!A1" display="D03_Madhuravoyal_to_Madiwala_ST"/>
    <hyperlink ref="D28" location="'D04_Madhuravoyal_to_Madiwala_NO'!A1" display="D04_Madhuravoyal_to_Madiwala_NO"/>
    <hyperlink ref="D29" location="'D05_Madiwala_to_Madhuravoyal_ST'!A1" display="D05_Madiwala_to_Madhuravoyal_ST"/>
    <hyperlink ref="D30" location="'D06_Madiwala_to_Madhuravoyal_NO'!A1" display="D06_Madiwala_to_Madhuravoyal_NO"/>
    <hyperlink ref="D31" location="'D07_Maduravoyal_to_Silk_Board_N'!A1" display="D07_Maduravoyal_to_Silk_Board_N"/>
    <hyperlink ref="D32" location="'D08_Pondicherry_to_Chennai_STRI'!A1" display="D08_Pondicherry_to_Chennai_STRI"/>
    <hyperlink ref="D33" location="'D09_Pondicherry_to_Chennai_NONS'!A1" display="D09_Pondicherry_to_Chennai_NONS"/>
    <hyperlink ref="D34" location="'D10_Silk_Board_to_Maduravoyal_S'!A1" display="D10_Silk_Board_to_Maduravoyal_S"/>
    <hyperlink ref="D35" location="'D11_Silk_Board_to_Maduravoyal_N'!A1" display="D11_Silk_Board_to_Maduravoyal_N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7" width="22" customWidth="1"/>
    <col min="8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58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</v>
      </c>
      <c r="B5" s="6" t="s">
        <v>75</v>
      </c>
      <c r="C5" s="6" t="s">
        <v>44</v>
      </c>
      <c r="D5" s="6" t="s">
        <v>28</v>
      </c>
      <c r="E5" s="6" t="s">
        <v>35</v>
      </c>
      <c r="F5" s="6" t="s">
        <v>76</v>
      </c>
      <c r="G5" s="6" t="s">
        <v>77</v>
      </c>
      <c r="H5" s="6" t="s">
        <v>78</v>
      </c>
      <c r="I5" s="10">
        <v>305.16658691227991</v>
      </c>
      <c r="J5" s="10">
        <v>310.4742418277487</v>
      </c>
      <c r="K5" s="10">
        <v>343.84039999999999</v>
      </c>
      <c r="L5" s="10">
        <v>311.50751666666667</v>
      </c>
      <c r="M5" s="6" t="s">
        <v>79</v>
      </c>
      <c r="N5" s="6" t="s">
        <v>80</v>
      </c>
      <c r="O5" s="6" t="s">
        <v>81</v>
      </c>
      <c r="P5" s="6" t="s">
        <v>82</v>
      </c>
      <c r="Q5" s="10">
        <v>69.11154120244322</v>
      </c>
      <c r="R5" s="10">
        <v>63.460767866371931</v>
      </c>
    </row>
    <row r="6" spans="1:18" x14ac:dyDescent="0.25">
      <c r="A6" s="8">
        <v>2</v>
      </c>
      <c r="B6" s="8" t="s">
        <v>83</v>
      </c>
      <c r="C6" s="8" t="s">
        <v>44</v>
      </c>
      <c r="D6" s="8" t="s">
        <v>28</v>
      </c>
      <c r="E6" s="8" t="s">
        <v>35</v>
      </c>
      <c r="F6" s="8" t="s">
        <v>76</v>
      </c>
      <c r="G6" s="8" t="s">
        <v>77</v>
      </c>
      <c r="H6" s="8" t="s">
        <v>84</v>
      </c>
      <c r="I6" s="11">
        <v>305.10727765948627</v>
      </c>
      <c r="J6" s="11">
        <v>305.2160753980956</v>
      </c>
      <c r="K6" s="11">
        <v>343.84039999999999</v>
      </c>
      <c r="L6" s="11">
        <v>299.01821666666672</v>
      </c>
      <c r="M6" s="8" t="s">
        <v>79</v>
      </c>
      <c r="N6" s="8" t="s">
        <v>80</v>
      </c>
      <c r="O6" s="8" t="s">
        <v>85</v>
      </c>
      <c r="P6" s="8" t="s">
        <v>86</v>
      </c>
      <c r="Q6" s="11">
        <v>69.098086819344246</v>
      </c>
      <c r="R6" s="11">
        <v>66.422255950595925</v>
      </c>
    </row>
    <row r="7" spans="1:18" x14ac:dyDescent="0.25">
      <c r="A7" s="6">
        <v>3</v>
      </c>
      <c r="B7" s="6" t="s">
        <v>87</v>
      </c>
      <c r="C7" s="6" t="s">
        <v>44</v>
      </c>
      <c r="D7" s="6" t="s">
        <v>28</v>
      </c>
      <c r="E7" s="6" t="s">
        <v>35</v>
      </c>
      <c r="F7" s="6" t="s">
        <v>88</v>
      </c>
      <c r="G7" s="6" t="s">
        <v>89</v>
      </c>
      <c r="H7" s="6" t="s">
        <v>90</v>
      </c>
      <c r="I7" s="10">
        <v>320.33950971072761</v>
      </c>
      <c r="J7" s="10">
        <v>320.68901803404901</v>
      </c>
      <c r="K7" s="10">
        <v>345.61666666666667</v>
      </c>
      <c r="L7" s="10">
        <v>358.39743333333331</v>
      </c>
      <c r="M7" s="6" t="s">
        <v>91</v>
      </c>
      <c r="N7" s="6" t="s">
        <v>92</v>
      </c>
      <c r="O7" s="6" t="s">
        <v>93</v>
      </c>
      <c r="P7" s="6" t="s">
        <v>94</v>
      </c>
      <c r="Q7" s="10">
        <v>64.616756627859615</v>
      </c>
      <c r="R7" s="10">
        <v>59.679115606607731</v>
      </c>
    </row>
    <row r="8" spans="1:18" x14ac:dyDescent="0.25">
      <c r="A8" s="8">
        <v>4</v>
      </c>
      <c r="B8" s="8" t="s">
        <v>95</v>
      </c>
      <c r="C8" s="8" t="s">
        <v>42</v>
      </c>
      <c r="D8" s="8" t="s">
        <v>28</v>
      </c>
      <c r="E8" s="8" t="s">
        <v>29</v>
      </c>
      <c r="F8" s="8" t="s">
        <v>96</v>
      </c>
      <c r="G8" s="8" t="s">
        <v>97</v>
      </c>
      <c r="H8" s="8" t="s">
        <v>97</v>
      </c>
      <c r="I8" s="11">
        <v>148.19876902377749</v>
      </c>
      <c r="J8" s="11">
        <v>148.1254196841063</v>
      </c>
      <c r="K8" s="11">
        <v>240.44363333333331</v>
      </c>
      <c r="L8" s="11">
        <v>274.35000000000002</v>
      </c>
      <c r="M8" s="8" t="s">
        <v>98</v>
      </c>
      <c r="N8" s="8" t="s">
        <v>99</v>
      </c>
      <c r="O8" s="8" t="s">
        <v>100</v>
      </c>
      <c r="P8" s="8" t="s">
        <v>101</v>
      </c>
      <c r="Q8" s="11">
        <v>42.808105641290943</v>
      </c>
      <c r="R8" s="11">
        <v>44.784536201483498</v>
      </c>
    </row>
    <row r="9" spans="1:18" x14ac:dyDescent="0.25">
      <c r="A9" s="6">
        <v>5</v>
      </c>
      <c r="B9" s="6" t="s">
        <v>102</v>
      </c>
      <c r="C9" s="6" t="s">
        <v>44</v>
      </c>
      <c r="D9" s="6" t="s">
        <v>28</v>
      </c>
      <c r="E9" s="6" t="s">
        <v>29</v>
      </c>
      <c r="F9" s="6" t="s">
        <v>96</v>
      </c>
      <c r="G9" s="6" t="s">
        <v>97</v>
      </c>
      <c r="H9" s="6" t="s">
        <v>103</v>
      </c>
      <c r="I9" s="10">
        <v>141.62200313375999</v>
      </c>
      <c r="J9" s="10">
        <v>141.6711046862772</v>
      </c>
      <c r="K9" s="10">
        <v>209.59191666666669</v>
      </c>
      <c r="L9" s="10">
        <v>221.15</v>
      </c>
      <c r="M9" s="6" t="s">
        <v>104</v>
      </c>
      <c r="N9" s="6" t="s">
        <v>105</v>
      </c>
      <c r="O9" s="6" t="s">
        <v>106</v>
      </c>
      <c r="P9" s="6" t="s">
        <v>107</v>
      </c>
      <c r="Q9" s="10">
        <v>47.253841991330667</v>
      </c>
      <c r="R9" s="10">
        <v>44.821614085784937</v>
      </c>
    </row>
    <row r="10" spans="1:18" x14ac:dyDescent="0.25">
      <c r="A10" s="8">
        <v>6</v>
      </c>
      <c r="B10" s="8" t="s">
        <v>108</v>
      </c>
      <c r="C10" s="8" t="s">
        <v>44</v>
      </c>
      <c r="D10" s="8" t="s">
        <v>28</v>
      </c>
      <c r="E10" s="8" t="s">
        <v>29</v>
      </c>
      <c r="F10" s="8" t="s">
        <v>96</v>
      </c>
      <c r="G10" s="8" t="s">
        <v>103</v>
      </c>
      <c r="H10" s="8" t="s">
        <v>97</v>
      </c>
      <c r="I10" s="11">
        <v>148.20841194532801</v>
      </c>
      <c r="J10" s="11">
        <v>148.15021957391201</v>
      </c>
      <c r="K10" s="11">
        <v>221.51708333333329</v>
      </c>
      <c r="L10" s="11">
        <v>274.35000000000002</v>
      </c>
      <c r="M10" s="8" t="s">
        <v>109</v>
      </c>
      <c r="N10" s="8" t="s">
        <v>110</v>
      </c>
      <c r="O10" s="8" t="s">
        <v>100</v>
      </c>
      <c r="P10" s="8" t="s">
        <v>101</v>
      </c>
      <c r="Q10" s="11">
        <v>49.306618200865557</v>
      </c>
      <c r="R10" s="11">
        <v>44.79217019920052</v>
      </c>
    </row>
    <row r="11" spans="1:18" x14ac:dyDescent="0.25">
      <c r="A11" s="6">
        <v>7</v>
      </c>
      <c r="B11" s="6" t="s">
        <v>111</v>
      </c>
      <c r="C11" s="6" t="s">
        <v>44</v>
      </c>
      <c r="D11" s="6" t="s">
        <v>28</v>
      </c>
      <c r="E11" s="6" t="s">
        <v>29</v>
      </c>
      <c r="F11" s="6" t="s">
        <v>96</v>
      </c>
      <c r="G11" s="6" t="s">
        <v>97</v>
      </c>
      <c r="H11" s="6" t="s">
        <v>112</v>
      </c>
      <c r="I11" s="10">
        <v>146.1103622297162</v>
      </c>
      <c r="J11" s="10">
        <v>146.19417039093929</v>
      </c>
      <c r="K11" s="10">
        <v>232.89156666666659</v>
      </c>
      <c r="L11" s="10">
        <v>269.21666666666658</v>
      </c>
      <c r="M11" s="6" t="s">
        <v>113</v>
      </c>
      <c r="N11" s="6" t="s">
        <v>114</v>
      </c>
      <c r="O11" s="6" t="s">
        <v>115</v>
      </c>
      <c r="P11" s="6" t="s">
        <v>116</v>
      </c>
      <c r="Q11" s="10">
        <v>44.761538696895471</v>
      </c>
      <c r="R11" s="10">
        <v>44.849027767870119</v>
      </c>
    </row>
    <row r="12" spans="1:18" x14ac:dyDescent="0.25">
      <c r="A12" s="8">
        <v>8</v>
      </c>
      <c r="B12" s="8" t="s">
        <v>117</v>
      </c>
      <c r="C12" s="8" t="s">
        <v>44</v>
      </c>
      <c r="D12" s="8" t="s">
        <v>28</v>
      </c>
      <c r="E12" s="8" t="s">
        <v>29</v>
      </c>
      <c r="F12" s="8" t="s">
        <v>96</v>
      </c>
      <c r="G12" s="8" t="s">
        <v>112</v>
      </c>
      <c r="H12" s="8" t="s">
        <v>97</v>
      </c>
      <c r="I12" s="11">
        <v>147.80638088976619</v>
      </c>
      <c r="J12" s="11">
        <v>147.73470822438651</v>
      </c>
      <c r="K12" s="11">
        <v>199.78013333333331</v>
      </c>
      <c r="L12" s="11">
        <v>272.70876666666669</v>
      </c>
      <c r="M12" s="8" t="s">
        <v>118</v>
      </c>
      <c r="N12" s="8" t="s">
        <v>119</v>
      </c>
      <c r="O12" s="8" t="s">
        <v>120</v>
      </c>
      <c r="P12" s="8" t="s">
        <v>101</v>
      </c>
      <c r="Q12" s="11">
        <v>48.109431090638452</v>
      </c>
      <c r="R12" s="11">
        <v>45.043540593222318</v>
      </c>
    </row>
    <row r="13" spans="1:18" x14ac:dyDescent="0.25">
      <c r="A13" s="6">
        <v>9</v>
      </c>
      <c r="B13" s="6" t="s">
        <v>121</v>
      </c>
      <c r="C13" s="6" t="s">
        <v>44</v>
      </c>
      <c r="D13" s="6" t="s">
        <v>28</v>
      </c>
      <c r="E13" s="6" t="s">
        <v>29</v>
      </c>
      <c r="F13" s="6" t="s">
        <v>96</v>
      </c>
      <c r="G13" s="6" t="s">
        <v>97</v>
      </c>
      <c r="H13" s="6" t="s">
        <v>122</v>
      </c>
      <c r="I13" s="10">
        <v>153.53484415159559</v>
      </c>
      <c r="J13" s="10">
        <v>153.5526617847118</v>
      </c>
      <c r="K13" s="10">
        <v>299.50470000000001</v>
      </c>
      <c r="L13" s="10">
        <v>285.56666666666672</v>
      </c>
      <c r="M13" s="6" t="s">
        <v>123</v>
      </c>
      <c r="N13" s="6" t="s">
        <v>105</v>
      </c>
      <c r="O13" s="6" t="s">
        <v>124</v>
      </c>
      <c r="P13" s="6" t="s">
        <v>125</v>
      </c>
      <c r="Q13" s="10">
        <v>41.136903244122031</v>
      </c>
      <c r="R13" s="10">
        <v>41.353121466683596</v>
      </c>
    </row>
    <row r="14" spans="1:18" x14ac:dyDescent="0.25">
      <c r="A14" s="8">
        <v>10</v>
      </c>
      <c r="B14" s="8" t="s">
        <v>126</v>
      </c>
      <c r="C14" s="8" t="s">
        <v>44</v>
      </c>
      <c r="D14" s="8" t="s">
        <v>28</v>
      </c>
      <c r="E14" s="8" t="s">
        <v>29</v>
      </c>
      <c r="F14" s="8" t="s">
        <v>96</v>
      </c>
      <c r="G14" s="8" t="s">
        <v>122</v>
      </c>
      <c r="H14" s="8" t="s">
        <v>97</v>
      </c>
      <c r="I14" s="11">
        <v>148.4081122812309</v>
      </c>
      <c r="J14" s="11">
        <v>148.16934205197421</v>
      </c>
      <c r="K14" s="11">
        <v>247.26765</v>
      </c>
      <c r="L14" s="11">
        <v>274.35000000000002</v>
      </c>
      <c r="M14" s="8" t="s">
        <v>127</v>
      </c>
      <c r="N14" s="8" t="s">
        <v>128</v>
      </c>
      <c r="O14" s="8" t="s">
        <v>100</v>
      </c>
      <c r="P14" s="8" t="s">
        <v>101</v>
      </c>
      <c r="Q14" s="11">
        <v>47.637753211593449</v>
      </c>
      <c r="R14" s="11">
        <v>44.798056554140558</v>
      </c>
    </row>
    <row r="15" spans="1:18" x14ac:dyDescent="0.25">
      <c r="A15" s="6">
        <v>11</v>
      </c>
      <c r="B15" s="6" t="s">
        <v>129</v>
      </c>
      <c r="C15" s="6" t="s">
        <v>42</v>
      </c>
      <c r="D15" s="6" t="s">
        <v>28</v>
      </c>
      <c r="E15" s="6" t="s">
        <v>29</v>
      </c>
      <c r="F15" s="6" t="s">
        <v>130</v>
      </c>
      <c r="G15" s="6" t="s">
        <v>131</v>
      </c>
      <c r="H15" s="6" t="s">
        <v>131</v>
      </c>
      <c r="I15" s="10">
        <v>143.67832745765901</v>
      </c>
      <c r="J15" s="10">
        <v>143.70610311558761</v>
      </c>
      <c r="K15" s="10">
        <v>241.37365</v>
      </c>
      <c r="L15" s="10">
        <v>241.6157666666667</v>
      </c>
      <c r="M15" s="6" t="s">
        <v>132</v>
      </c>
      <c r="N15" s="6" t="s">
        <v>133</v>
      </c>
      <c r="O15" s="6" t="s">
        <v>134</v>
      </c>
      <c r="P15" s="6" t="s">
        <v>135</v>
      </c>
      <c r="Q15" s="10">
        <v>44.633872553714347</v>
      </c>
      <c r="R15" s="10">
        <v>42.341883574137007</v>
      </c>
    </row>
    <row r="16" spans="1:18" x14ac:dyDescent="0.25">
      <c r="A16" s="8">
        <v>12</v>
      </c>
      <c r="B16" s="8" t="s">
        <v>136</v>
      </c>
      <c r="C16" s="8" t="s">
        <v>44</v>
      </c>
      <c r="D16" s="8" t="s">
        <v>28</v>
      </c>
      <c r="E16" s="8" t="s">
        <v>29</v>
      </c>
      <c r="F16" s="8" t="s">
        <v>130</v>
      </c>
      <c r="G16" s="8" t="s">
        <v>131</v>
      </c>
      <c r="H16" s="8" t="s">
        <v>137</v>
      </c>
      <c r="I16" s="11">
        <v>136.6906978560236</v>
      </c>
      <c r="J16" s="11">
        <v>137.9070606846193</v>
      </c>
      <c r="K16" s="11">
        <v>199.88373333333331</v>
      </c>
      <c r="L16" s="11">
        <v>231.8833333333333</v>
      </c>
      <c r="M16" s="8" t="s">
        <v>132</v>
      </c>
      <c r="N16" s="8" t="s">
        <v>138</v>
      </c>
      <c r="O16" s="8" t="s">
        <v>139</v>
      </c>
      <c r="P16" s="8" t="s">
        <v>140</v>
      </c>
      <c r="Q16" s="11">
        <v>48.732283159784458</v>
      </c>
      <c r="R16" s="11">
        <v>40.295521200628478</v>
      </c>
    </row>
    <row r="17" spans="1:18" x14ac:dyDescent="0.25">
      <c r="A17" s="6">
        <v>13</v>
      </c>
      <c r="B17" s="6" t="s">
        <v>141</v>
      </c>
      <c r="C17" s="6" t="s">
        <v>44</v>
      </c>
      <c r="D17" s="6" t="s">
        <v>28</v>
      </c>
      <c r="E17" s="6" t="s">
        <v>29</v>
      </c>
      <c r="F17" s="6" t="s">
        <v>130</v>
      </c>
      <c r="G17" s="6" t="s">
        <v>137</v>
      </c>
      <c r="H17" s="6" t="s">
        <v>131</v>
      </c>
      <c r="I17" s="10">
        <v>144.86907862959839</v>
      </c>
      <c r="J17" s="10">
        <v>143.72466993648419</v>
      </c>
      <c r="K17" s="10">
        <v>251.7108833333333</v>
      </c>
      <c r="L17" s="10">
        <v>241.6157666666667</v>
      </c>
      <c r="M17" s="6" t="s">
        <v>142</v>
      </c>
      <c r="N17" s="6" t="s">
        <v>143</v>
      </c>
      <c r="O17" s="6" t="s">
        <v>134</v>
      </c>
      <c r="P17" s="6" t="s">
        <v>135</v>
      </c>
      <c r="Q17" s="10">
        <v>40.963129251036513</v>
      </c>
      <c r="R17" s="10">
        <v>42.341899372018943</v>
      </c>
    </row>
    <row r="18" spans="1:18" x14ac:dyDescent="0.25">
      <c r="A18" s="8">
        <v>14</v>
      </c>
      <c r="B18" s="8" t="s">
        <v>144</v>
      </c>
      <c r="C18" s="8" t="s">
        <v>44</v>
      </c>
      <c r="D18" s="8" t="s">
        <v>28</v>
      </c>
      <c r="E18" s="8" t="s">
        <v>29</v>
      </c>
      <c r="F18" s="8" t="s">
        <v>130</v>
      </c>
      <c r="G18" s="8" t="s">
        <v>131</v>
      </c>
      <c r="H18" s="8" t="s">
        <v>145</v>
      </c>
      <c r="I18" s="11">
        <v>123.91859568577109</v>
      </c>
      <c r="J18" s="11">
        <v>123.941936072907</v>
      </c>
      <c r="K18" s="11">
        <v>205.75388333333331</v>
      </c>
      <c r="L18" s="11">
        <v>194.95840000000001</v>
      </c>
      <c r="M18" s="8" t="s">
        <v>146</v>
      </c>
      <c r="N18" s="8" t="s">
        <v>147</v>
      </c>
      <c r="O18" s="8" t="s">
        <v>148</v>
      </c>
      <c r="P18" s="8" t="s">
        <v>149</v>
      </c>
      <c r="Q18" s="11">
        <v>44.923872976769658</v>
      </c>
      <c r="R18" s="11">
        <v>42.762032180854042</v>
      </c>
    </row>
    <row r="19" spans="1:18" x14ac:dyDescent="0.25">
      <c r="A19" s="6">
        <v>15</v>
      </c>
      <c r="B19" s="6" t="s">
        <v>150</v>
      </c>
      <c r="C19" s="6" t="s">
        <v>44</v>
      </c>
      <c r="D19" s="6" t="s">
        <v>28</v>
      </c>
      <c r="E19" s="6" t="s">
        <v>29</v>
      </c>
      <c r="F19" s="6" t="s">
        <v>130</v>
      </c>
      <c r="G19" s="6" t="s">
        <v>145</v>
      </c>
      <c r="H19" s="6" t="s">
        <v>131</v>
      </c>
      <c r="I19" s="10">
        <v>143.71555961314201</v>
      </c>
      <c r="J19" s="10">
        <v>143.70301098845081</v>
      </c>
      <c r="K19" s="10">
        <v>223.04198333333329</v>
      </c>
      <c r="L19" s="10">
        <v>241.6157666666667</v>
      </c>
      <c r="M19" s="6" t="s">
        <v>151</v>
      </c>
      <c r="N19" s="6" t="s">
        <v>152</v>
      </c>
      <c r="O19" s="6" t="s">
        <v>134</v>
      </c>
      <c r="P19" s="6" t="s">
        <v>135</v>
      </c>
      <c r="Q19" s="10">
        <v>46.2946098216972</v>
      </c>
      <c r="R19" s="10">
        <v>42.341452090744298</v>
      </c>
    </row>
    <row r="20" spans="1:18" x14ac:dyDescent="0.25">
      <c r="A20" s="8">
        <v>16</v>
      </c>
      <c r="B20" s="8" t="s">
        <v>153</v>
      </c>
      <c r="C20" s="8" t="s">
        <v>44</v>
      </c>
      <c r="D20" s="8" t="s">
        <v>28</v>
      </c>
      <c r="E20" s="8" t="s">
        <v>29</v>
      </c>
      <c r="F20" s="8" t="s">
        <v>130</v>
      </c>
      <c r="G20" s="8" t="s">
        <v>131</v>
      </c>
      <c r="H20" s="8" t="s">
        <v>154</v>
      </c>
      <c r="I20" s="11">
        <v>152.2392917821083</v>
      </c>
      <c r="J20" s="11">
        <v>153.94759024770309</v>
      </c>
      <c r="K20" s="11">
        <v>276.10219999999998</v>
      </c>
      <c r="L20" s="11">
        <v>291.35971666666671</v>
      </c>
      <c r="M20" s="8" t="s">
        <v>132</v>
      </c>
      <c r="N20" s="8" t="s">
        <v>155</v>
      </c>
      <c r="O20" s="8" t="s">
        <v>156</v>
      </c>
      <c r="P20" s="8" t="s">
        <v>157</v>
      </c>
      <c r="Q20" s="11">
        <v>40.355745492660311</v>
      </c>
      <c r="R20" s="11">
        <v>36.021923037796739</v>
      </c>
    </row>
    <row r="21" spans="1:18" x14ac:dyDescent="0.25">
      <c r="A21" s="6">
        <v>17</v>
      </c>
      <c r="B21" s="6" t="s">
        <v>158</v>
      </c>
      <c r="C21" s="6" t="s">
        <v>44</v>
      </c>
      <c r="D21" s="6" t="s">
        <v>28</v>
      </c>
      <c r="E21" s="6" t="s">
        <v>29</v>
      </c>
      <c r="F21" s="6" t="s">
        <v>130</v>
      </c>
      <c r="G21" s="6" t="s">
        <v>154</v>
      </c>
      <c r="H21" s="6" t="s">
        <v>131</v>
      </c>
      <c r="I21" s="10">
        <v>145.59876206835349</v>
      </c>
      <c r="J21" s="10">
        <v>143.81943712107361</v>
      </c>
      <c r="K21" s="10">
        <v>242.58760000000001</v>
      </c>
      <c r="L21" s="10">
        <v>242.52818333333329</v>
      </c>
      <c r="M21" s="6" t="s">
        <v>159</v>
      </c>
      <c r="N21" s="6" t="s">
        <v>160</v>
      </c>
      <c r="O21" s="6" t="s">
        <v>134</v>
      </c>
      <c r="P21" s="6" t="s">
        <v>161</v>
      </c>
      <c r="Q21" s="10">
        <v>44.70287136285296</v>
      </c>
      <c r="R21" s="10">
        <v>42.185773980476462</v>
      </c>
    </row>
    <row r="22" spans="1:18" x14ac:dyDescent="0.25">
      <c r="A22" s="8">
        <v>18</v>
      </c>
      <c r="B22" s="8" t="s">
        <v>162</v>
      </c>
      <c r="C22" s="8" t="s">
        <v>42</v>
      </c>
      <c r="D22" s="8" t="s">
        <v>28</v>
      </c>
      <c r="E22" s="8" t="s">
        <v>29</v>
      </c>
      <c r="F22" s="8" t="s">
        <v>96</v>
      </c>
      <c r="G22" s="8" t="s">
        <v>103</v>
      </c>
      <c r="H22" s="8" t="s">
        <v>103</v>
      </c>
      <c r="I22" s="11">
        <v>141.5990549680233</v>
      </c>
      <c r="J22" s="11">
        <v>141.66630570695861</v>
      </c>
      <c r="K22" s="11">
        <v>205.6434166666667</v>
      </c>
      <c r="L22" s="11">
        <v>221.15</v>
      </c>
      <c r="M22" s="8" t="s">
        <v>163</v>
      </c>
      <c r="N22" s="8" t="s">
        <v>164</v>
      </c>
      <c r="O22" s="8" t="s">
        <v>106</v>
      </c>
      <c r="P22" s="8" t="s">
        <v>107</v>
      </c>
      <c r="Q22" s="11">
        <v>51.089288821174947</v>
      </c>
      <c r="R22" s="11">
        <v>44.820093416341507</v>
      </c>
    </row>
    <row r="23" spans="1:18" x14ac:dyDescent="0.25">
      <c r="A23" s="6">
        <v>19</v>
      </c>
      <c r="B23" s="6" t="s">
        <v>165</v>
      </c>
      <c r="C23" s="6" t="s">
        <v>44</v>
      </c>
      <c r="D23" s="6" t="s">
        <v>28</v>
      </c>
      <c r="E23" s="6" t="s">
        <v>29</v>
      </c>
      <c r="F23" s="6" t="s">
        <v>96</v>
      </c>
      <c r="G23" s="6" t="s">
        <v>103</v>
      </c>
      <c r="H23" s="6" t="s">
        <v>112</v>
      </c>
      <c r="I23" s="10">
        <v>146.11778022672581</v>
      </c>
      <c r="J23" s="10">
        <v>146.22654761738161</v>
      </c>
      <c r="K23" s="10">
        <v>219.93658333333329</v>
      </c>
      <c r="L23" s="10">
        <v>269.21666666666658</v>
      </c>
      <c r="M23" s="6" t="s">
        <v>166</v>
      </c>
      <c r="N23" s="6" t="s">
        <v>167</v>
      </c>
      <c r="O23" s="6" t="s">
        <v>115</v>
      </c>
      <c r="P23" s="6" t="s">
        <v>116</v>
      </c>
      <c r="Q23" s="10">
        <v>48.977517926050687</v>
      </c>
      <c r="R23" s="10">
        <v>44.857641693697801</v>
      </c>
    </row>
    <row r="24" spans="1:18" x14ac:dyDescent="0.25">
      <c r="A24" s="8">
        <v>20</v>
      </c>
      <c r="B24" s="8" t="s">
        <v>168</v>
      </c>
      <c r="C24" s="8" t="s">
        <v>44</v>
      </c>
      <c r="D24" s="8" t="s">
        <v>28</v>
      </c>
      <c r="E24" s="8" t="s">
        <v>29</v>
      </c>
      <c r="F24" s="8" t="s">
        <v>96</v>
      </c>
      <c r="G24" s="8" t="s">
        <v>112</v>
      </c>
      <c r="H24" s="8" t="s">
        <v>103</v>
      </c>
      <c r="I24" s="11">
        <v>141.7178099447946</v>
      </c>
      <c r="J24" s="11">
        <v>141.71372942643819</v>
      </c>
      <c r="K24" s="11">
        <v>186.11555000000001</v>
      </c>
      <c r="L24" s="11">
        <v>221.15</v>
      </c>
      <c r="M24" s="8" t="s">
        <v>169</v>
      </c>
      <c r="N24" s="8" t="s">
        <v>170</v>
      </c>
      <c r="O24" s="8" t="s">
        <v>106</v>
      </c>
      <c r="P24" s="8" t="s">
        <v>107</v>
      </c>
      <c r="Q24" s="11">
        <v>48.979847646940023</v>
      </c>
      <c r="R24" s="11">
        <v>44.835120737011053</v>
      </c>
    </row>
    <row r="25" spans="1:18" x14ac:dyDescent="0.25">
      <c r="A25" s="6">
        <v>21</v>
      </c>
      <c r="B25" s="6" t="s">
        <v>171</v>
      </c>
      <c r="C25" s="6" t="s">
        <v>44</v>
      </c>
      <c r="D25" s="6" t="s">
        <v>28</v>
      </c>
      <c r="E25" s="6" t="s">
        <v>29</v>
      </c>
      <c r="F25" s="6" t="s">
        <v>96</v>
      </c>
      <c r="G25" s="6" t="s">
        <v>103</v>
      </c>
      <c r="H25" s="6" t="s">
        <v>122</v>
      </c>
      <c r="I25" s="10">
        <v>153.5802936448807</v>
      </c>
      <c r="J25" s="10">
        <v>153.58803621196651</v>
      </c>
      <c r="K25" s="10">
        <v>235.73150000000001</v>
      </c>
      <c r="L25" s="10">
        <v>285.56666666666672</v>
      </c>
      <c r="M25" s="6" t="s">
        <v>172</v>
      </c>
      <c r="N25" s="6" t="s">
        <v>164</v>
      </c>
      <c r="O25" s="6" t="s">
        <v>124</v>
      </c>
      <c r="P25" s="6" t="s">
        <v>125</v>
      </c>
      <c r="Q25" s="10">
        <v>47.722150024085572</v>
      </c>
      <c r="R25" s="10">
        <v>41.362781478677611</v>
      </c>
    </row>
    <row r="26" spans="1:18" x14ac:dyDescent="0.25">
      <c r="A26" s="8">
        <v>22</v>
      </c>
      <c r="B26" s="8" t="s">
        <v>173</v>
      </c>
      <c r="C26" s="8" t="s">
        <v>44</v>
      </c>
      <c r="D26" s="8" t="s">
        <v>28</v>
      </c>
      <c r="E26" s="8" t="s">
        <v>29</v>
      </c>
      <c r="F26" s="8" t="s">
        <v>96</v>
      </c>
      <c r="G26" s="8" t="s">
        <v>122</v>
      </c>
      <c r="H26" s="8" t="s">
        <v>103</v>
      </c>
      <c r="I26" s="11">
        <v>141.83173688616381</v>
      </c>
      <c r="J26" s="11">
        <v>141.67339805160449</v>
      </c>
      <c r="K26" s="11">
        <v>221.1224333333333</v>
      </c>
      <c r="L26" s="11">
        <v>221.15</v>
      </c>
      <c r="M26" s="8" t="s">
        <v>174</v>
      </c>
      <c r="N26" s="8" t="s">
        <v>175</v>
      </c>
      <c r="O26" s="8" t="s">
        <v>106</v>
      </c>
      <c r="P26" s="8" t="s">
        <v>107</v>
      </c>
      <c r="Q26" s="11">
        <v>49.270305864703857</v>
      </c>
      <c r="R26" s="11">
        <v>44.822340792516592</v>
      </c>
    </row>
    <row r="27" spans="1:18" x14ac:dyDescent="0.25">
      <c r="A27" s="6">
        <v>23</v>
      </c>
      <c r="B27" s="6" t="s">
        <v>176</v>
      </c>
      <c r="C27" s="6" t="s">
        <v>42</v>
      </c>
      <c r="D27" s="6" t="s">
        <v>28</v>
      </c>
      <c r="E27" s="6" t="s">
        <v>29</v>
      </c>
      <c r="F27" s="6" t="s">
        <v>130</v>
      </c>
      <c r="G27" s="6" t="s">
        <v>137</v>
      </c>
      <c r="H27" s="6" t="s">
        <v>137</v>
      </c>
      <c r="I27" s="10">
        <v>137.84785127876921</v>
      </c>
      <c r="J27" s="10">
        <v>137.9112374368539</v>
      </c>
      <c r="K27" s="10">
        <v>223.05115000000001</v>
      </c>
      <c r="L27" s="10">
        <v>231.8833333333333</v>
      </c>
      <c r="M27" s="6" t="s">
        <v>142</v>
      </c>
      <c r="N27" s="6" t="s">
        <v>177</v>
      </c>
      <c r="O27" s="6" t="s">
        <v>139</v>
      </c>
      <c r="P27" s="6" t="s">
        <v>140</v>
      </c>
      <c r="Q27" s="10">
        <v>43.489208200130058</v>
      </c>
      <c r="R27" s="10">
        <v>40.29129762507425</v>
      </c>
    </row>
    <row r="28" spans="1:18" x14ac:dyDescent="0.25">
      <c r="A28" s="8">
        <v>24</v>
      </c>
      <c r="B28" s="8" t="s">
        <v>178</v>
      </c>
      <c r="C28" s="8" t="s">
        <v>44</v>
      </c>
      <c r="D28" s="8" t="s">
        <v>28</v>
      </c>
      <c r="E28" s="8" t="s">
        <v>29</v>
      </c>
      <c r="F28" s="8" t="s">
        <v>130</v>
      </c>
      <c r="G28" s="8" t="s">
        <v>137</v>
      </c>
      <c r="H28" s="8" t="s">
        <v>145</v>
      </c>
      <c r="I28" s="11">
        <v>125.021511754306</v>
      </c>
      <c r="J28" s="11">
        <v>123.8871365945718</v>
      </c>
      <c r="K28" s="11">
        <v>207.13586666666669</v>
      </c>
      <c r="L28" s="11">
        <v>194.5326</v>
      </c>
      <c r="M28" s="8" t="s">
        <v>179</v>
      </c>
      <c r="N28" s="8" t="s">
        <v>143</v>
      </c>
      <c r="O28" s="8" t="s">
        <v>148</v>
      </c>
      <c r="P28" s="8" t="s">
        <v>180</v>
      </c>
      <c r="Q28" s="11">
        <v>41.521588856960847</v>
      </c>
      <c r="R28" s="11">
        <v>42.835212207537772</v>
      </c>
    </row>
    <row r="29" spans="1:18" x14ac:dyDescent="0.25">
      <c r="A29" s="6">
        <v>25</v>
      </c>
      <c r="B29" s="6" t="s">
        <v>181</v>
      </c>
      <c r="C29" s="6" t="s">
        <v>44</v>
      </c>
      <c r="D29" s="6" t="s">
        <v>28</v>
      </c>
      <c r="E29" s="6" t="s">
        <v>29</v>
      </c>
      <c r="F29" s="6" t="s">
        <v>130</v>
      </c>
      <c r="G29" s="6" t="s">
        <v>145</v>
      </c>
      <c r="H29" s="6" t="s">
        <v>137</v>
      </c>
      <c r="I29" s="10">
        <v>136.71688857972779</v>
      </c>
      <c r="J29" s="10">
        <v>137.90825458617789</v>
      </c>
      <c r="K29" s="10">
        <v>189.99105</v>
      </c>
      <c r="L29" s="10">
        <v>231.8833333333333</v>
      </c>
      <c r="M29" s="6" t="s">
        <v>151</v>
      </c>
      <c r="N29" s="6" t="s">
        <v>182</v>
      </c>
      <c r="O29" s="6" t="s">
        <v>139</v>
      </c>
      <c r="P29" s="6" t="s">
        <v>140</v>
      </c>
      <c r="Q29" s="10">
        <v>50.214719327104461</v>
      </c>
      <c r="R29" s="10">
        <v>40.296367138208907</v>
      </c>
    </row>
    <row r="30" spans="1:18" x14ac:dyDescent="0.25">
      <c r="A30" s="8">
        <v>26</v>
      </c>
      <c r="B30" s="8" t="s">
        <v>183</v>
      </c>
      <c r="C30" s="8" t="s">
        <v>44</v>
      </c>
      <c r="D30" s="8" t="s">
        <v>28</v>
      </c>
      <c r="E30" s="8" t="s">
        <v>29</v>
      </c>
      <c r="F30" s="8" t="s">
        <v>130</v>
      </c>
      <c r="G30" s="8" t="s">
        <v>137</v>
      </c>
      <c r="H30" s="8" t="s">
        <v>154</v>
      </c>
      <c r="I30" s="11">
        <v>153.3729275658394</v>
      </c>
      <c r="J30" s="11">
        <v>154.06343517645311</v>
      </c>
      <c r="K30" s="11">
        <v>281.08690000000001</v>
      </c>
      <c r="L30" s="11">
        <v>291.75</v>
      </c>
      <c r="M30" s="8" t="s">
        <v>142</v>
      </c>
      <c r="N30" s="8" t="s">
        <v>184</v>
      </c>
      <c r="O30" s="8" t="s">
        <v>156</v>
      </c>
      <c r="P30" s="8" t="s">
        <v>185</v>
      </c>
      <c r="Q30" s="11">
        <v>38.128965801600678</v>
      </c>
      <c r="R30" s="11">
        <v>35.989741808256568</v>
      </c>
    </row>
    <row r="31" spans="1:18" x14ac:dyDescent="0.25">
      <c r="A31" s="6">
        <v>27</v>
      </c>
      <c r="B31" s="6" t="s">
        <v>186</v>
      </c>
      <c r="C31" s="6" t="s">
        <v>44</v>
      </c>
      <c r="D31" s="6" t="s">
        <v>28</v>
      </c>
      <c r="E31" s="6" t="s">
        <v>29</v>
      </c>
      <c r="F31" s="6" t="s">
        <v>130</v>
      </c>
      <c r="G31" s="6" t="s">
        <v>154</v>
      </c>
      <c r="H31" s="6" t="s">
        <v>137</v>
      </c>
      <c r="I31" s="10">
        <v>138.2944646000696</v>
      </c>
      <c r="J31" s="10">
        <v>137.8693466671948</v>
      </c>
      <c r="K31" s="10">
        <v>219.90880000000001</v>
      </c>
      <c r="L31" s="10">
        <v>231.8833333333333</v>
      </c>
      <c r="M31" s="6" t="s">
        <v>159</v>
      </c>
      <c r="N31" s="6" t="s">
        <v>187</v>
      </c>
      <c r="O31" s="6" t="s">
        <v>139</v>
      </c>
      <c r="P31" s="6" t="s">
        <v>140</v>
      </c>
      <c r="Q31" s="10">
        <v>46.483728760311841</v>
      </c>
      <c r="R31" s="10">
        <v>40.286623077903108</v>
      </c>
    </row>
    <row r="32" spans="1:18" x14ac:dyDescent="0.25">
      <c r="A32" s="8">
        <v>28</v>
      </c>
      <c r="B32" s="8" t="s">
        <v>188</v>
      </c>
      <c r="C32" s="8" t="s">
        <v>42</v>
      </c>
      <c r="D32" s="8" t="s">
        <v>28</v>
      </c>
      <c r="E32" s="8" t="s">
        <v>29</v>
      </c>
      <c r="F32" s="8" t="s">
        <v>96</v>
      </c>
      <c r="G32" s="8" t="s">
        <v>112</v>
      </c>
      <c r="H32" s="8" t="s">
        <v>112</v>
      </c>
      <c r="I32" s="11">
        <v>145.90644227428081</v>
      </c>
      <c r="J32" s="11">
        <v>145.99433069945931</v>
      </c>
      <c r="K32" s="11">
        <v>195.40219999999999</v>
      </c>
      <c r="L32" s="11">
        <v>266.86321666666669</v>
      </c>
      <c r="M32" s="8" t="s">
        <v>189</v>
      </c>
      <c r="N32" s="8" t="s">
        <v>190</v>
      </c>
      <c r="O32" s="8" t="s">
        <v>115</v>
      </c>
      <c r="P32" s="8" t="s">
        <v>191</v>
      </c>
      <c r="Q32" s="11">
        <v>48.032687059895139</v>
      </c>
      <c r="R32" s="11">
        <v>45.342764687473462</v>
      </c>
    </row>
    <row r="33" spans="1:18" x14ac:dyDescent="0.25">
      <c r="A33" s="6">
        <v>29</v>
      </c>
      <c r="B33" s="6" t="s">
        <v>192</v>
      </c>
      <c r="C33" s="6" t="s">
        <v>44</v>
      </c>
      <c r="D33" s="6" t="s">
        <v>28</v>
      </c>
      <c r="E33" s="6" t="s">
        <v>29</v>
      </c>
      <c r="F33" s="6" t="s">
        <v>96</v>
      </c>
      <c r="G33" s="6" t="s">
        <v>112</v>
      </c>
      <c r="H33" s="6" t="s">
        <v>122</v>
      </c>
      <c r="I33" s="10">
        <v>148.61845633311091</v>
      </c>
      <c r="J33" s="10">
        <v>148.55222316255839</v>
      </c>
      <c r="K33" s="10">
        <v>202.45428333333331</v>
      </c>
      <c r="L33" s="10">
        <v>266.73758333333342</v>
      </c>
      <c r="M33" s="6" t="s">
        <v>118</v>
      </c>
      <c r="N33" s="6" t="s">
        <v>170</v>
      </c>
      <c r="O33" s="6" t="s">
        <v>193</v>
      </c>
      <c r="P33" s="6" t="s">
        <v>125</v>
      </c>
      <c r="Q33" s="10">
        <v>47.685896180996579</v>
      </c>
      <c r="R33" s="10">
        <v>42.944529784860279</v>
      </c>
    </row>
    <row r="34" spans="1:18" x14ac:dyDescent="0.25">
      <c r="A34" s="8">
        <v>30</v>
      </c>
      <c r="B34" s="8" t="s">
        <v>194</v>
      </c>
      <c r="C34" s="8" t="s">
        <v>44</v>
      </c>
      <c r="D34" s="8" t="s">
        <v>28</v>
      </c>
      <c r="E34" s="8" t="s">
        <v>29</v>
      </c>
      <c r="F34" s="8" t="s">
        <v>96</v>
      </c>
      <c r="G34" s="8" t="s">
        <v>122</v>
      </c>
      <c r="H34" s="8" t="s">
        <v>112</v>
      </c>
      <c r="I34" s="11">
        <v>145.9773325040056</v>
      </c>
      <c r="J34" s="11">
        <v>145.88933639903391</v>
      </c>
      <c r="K34" s="11">
        <v>255.74388333333329</v>
      </c>
      <c r="L34" s="11">
        <v>265.62998333333331</v>
      </c>
      <c r="M34" s="8" t="s">
        <v>195</v>
      </c>
      <c r="N34" s="8" t="s">
        <v>196</v>
      </c>
      <c r="O34" s="8" t="s">
        <v>115</v>
      </c>
      <c r="P34" s="8" t="s">
        <v>197</v>
      </c>
      <c r="Q34" s="11">
        <v>47.245229900420597</v>
      </c>
      <c r="R34" s="11">
        <v>45.594971634872877</v>
      </c>
    </row>
    <row r="35" spans="1:18" x14ac:dyDescent="0.25">
      <c r="A35" s="6">
        <v>31</v>
      </c>
      <c r="B35" s="6" t="s">
        <v>198</v>
      </c>
      <c r="C35" s="6" t="s">
        <v>42</v>
      </c>
      <c r="D35" s="6" t="s">
        <v>28</v>
      </c>
      <c r="E35" s="6" t="s">
        <v>29</v>
      </c>
      <c r="F35" s="6" t="s">
        <v>130</v>
      </c>
      <c r="G35" s="6" t="s">
        <v>145</v>
      </c>
      <c r="H35" s="6" t="s">
        <v>145</v>
      </c>
      <c r="I35" s="10">
        <v>123.9926446469637</v>
      </c>
      <c r="J35" s="10">
        <v>123.9802750677086</v>
      </c>
      <c r="K35" s="10">
        <v>187.65295</v>
      </c>
      <c r="L35" s="10">
        <v>194.95840000000001</v>
      </c>
      <c r="M35" s="6" t="s">
        <v>199</v>
      </c>
      <c r="N35" s="6" t="s">
        <v>200</v>
      </c>
      <c r="O35" s="6" t="s">
        <v>148</v>
      </c>
      <c r="P35" s="6" t="s">
        <v>149</v>
      </c>
      <c r="Q35" s="10">
        <v>46.882858863668829</v>
      </c>
      <c r="R35" s="10">
        <v>42.761694453487323</v>
      </c>
    </row>
    <row r="36" spans="1:18" x14ac:dyDescent="0.25">
      <c r="A36" s="8">
        <v>32</v>
      </c>
      <c r="B36" s="8" t="s">
        <v>201</v>
      </c>
      <c r="C36" s="8" t="s">
        <v>44</v>
      </c>
      <c r="D36" s="8" t="s">
        <v>28</v>
      </c>
      <c r="E36" s="8" t="s">
        <v>35</v>
      </c>
      <c r="F36" s="8" t="s">
        <v>76</v>
      </c>
      <c r="G36" s="8" t="s">
        <v>145</v>
      </c>
      <c r="H36" s="8" t="s">
        <v>78</v>
      </c>
      <c r="I36" s="11">
        <v>324.82784685582573</v>
      </c>
      <c r="J36" s="11">
        <v>330.65385365728412</v>
      </c>
      <c r="K36" s="11">
        <v>356.12246666666658</v>
      </c>
      <c r="L36" s="11">
        <v>333.43333333333328</v>
      </c>
      <c r="M36" s="8" t="s">
        <v>202</v>
      </c>
      <c r="N36" s="8" t="s">
        <v>203</v>
      </c>
      <c r="O36" s="8" t="s">
        <v>81</v>
      </c>
      <c r="P36" s="8" t="s">
        <v>204</v>
      </c>
      <c r="Q36" s="11">
        <v>65.688581946123335</v>
      </c>
      <c r="R36" s="11">
        <v>62.887753110635487</v>
      </c>
    </row>
    <row r="37" spans="1:18" x14ac:dyDescent="0.25">
      <c r="A37" s="6">
        <v>33</v>
      </c>
      <c r="B37" s="6" t="s">
        <v>205</v>
      </c>
      <c r="C37" s="6" t="s">
        <v>44</v>
      </c>
      <c r="D37" s="6" t="s">
        <v>28</v>
      </c>
      <c r="E37" s="6" t="s">
        <v>35</v>
      </c>
      <c r="F37" s="6" t="s">
        <v>76</v>
      </c>
      <c r="G37" s="6" t="s">
        <v>145</v>
      </c>
      <c r="H37" s="6" t="s">
        <v>84</v>
      </c>
      <c r="I37" s="10">
        <v>320.29500345641202</v>
      </c>
      <c r="J37" s="10">
        <v>320.93023294332693</v>
      </c>
      <c r="K37" s="10">
        <v>350.05456666666669</v>
      </c>
      <c r="L37" s="10">
        <v>317.31619999999998</v>
      </c>
      <c r="M37" s="6" t="s">
        <v>206</v>
      </c>
      <c r="N37" s="6" t="s">
        <v>207</v>
      </c>
      <c r="O37" s="6" t="s">
        <v>208</v>
      </c>
      <c r="P37" s="6" t="s">
        <v>209</v>
      </c>
      <c r="Q37" s="10">
        <v>66.126659936677697</v>
      </c>
      <c r="R37" s="10">
        <v>65.883968417687953</v>
      </c>
    </row>
    <row r="38" spans="1:18" x14ac:dyDescent="0.25">
      <c r="A38" s="8">
        <v>34</v>
      </c>
      <c r="B38" s="8" t="s">
        <v>210</v>
      </c>
      <c r="C38" s="8" t="s">
        <v>44</v>
      </c>
      <c r="D38" s="8" t="s">
        <v>28</v>
      </c>
      <c r="E38" s="8" t="s">
        <v>29</v>
      </c>
      <c r="F38" s="8" t="s">
        <v>130</v>
      </c>
      <c r="G38" s="8" t="s">
        <v>145</v>
      </c>
      <c r="H38" s="8" t="s">
        <v>154</v>
      </c>
      <c r="I38" s="11">
        <v>152.39467948024659</v>
      </c>
      <c r="J38" s="11">
        <v>154.03235985141359</v>
      </c>
      <c r="K38" s="11">
        <v>252.84703333333329</v>
      </c>
      <c r="L38" s="11">
        <v>291.75</v>
      </c>
      <c r="M38" s="8" t="s">
        <v>151</v>
      </c>
      <c r="N38" s="8" t="s">
        <v>211</v>
      </c>
      <c r="O38" s="8" t="s">
        <v>156</v>
      </c>
      <c r="P38" s="8" t="s">
        <v>185</v>
      </c>
      <c r="Q38" s="11">
        <v>42.287934939916333</v>
      </c>
      <c r="R38" s="11">
        <v>35.987183332600232</v>
      </c>
    </row>
    <row r="39" spans="1:18" x14ac:dyDescent="0.25">
      <c r="A39" s="6">
        <v>35</v>
      </c>
      <c r="B39" s="6" t="s">
        <v>212</v>
      </c>
      <c r="C39" s="6" t="s">
        <v>44</v>
      </c>
      <c r="D39" s="6" t="s">
        <v>28</v>
      </c>
      <c r="E39" s="6" t="s">
        <v>29</v>
      </c>
      <c r="F39" s="6" t="s">
        <v>130</v>
      </c>
      <c r="G39" s="6" t="s">
        <v>154</v>
      </c>
      <c r="H39" s="6" t="s">
        <v>145</v>
      </c>
      <c r="I39" s="10">
        <v>125.7416693023907</v>
      </c>
      <c r="J39" s="10">
        <v>123.9823800042885</v>
      </c>
      <c r="K39" s="10">
        <v>194.9381166666667</v>
      </c>
      <c r="L39" s="10">
        <v>194.95840000000001</v>
      </c>
      <c r="M39" s="6" t="s">
        <v>213</v>
      </c>
      <c r="N39" s="6" t="s">
        <v>160</v>
      </c>
      <c r="O39" s="6" t="s">
        <v>148</v>
      </c>
      <c r="P39" s="6" t="s">
        <v>149</v>
      </c>
      <c r="Q39" s="10">
        <v>45.475102570591687</v>
      </c>
      <c r="R39" s="10">
        <v>42.768923453873597</v>
      </c>
    </row>
    <row r="40" spans="1:18" x14ac:dyDescent="0.25">
      <c r="A40" s="8">
        <v>36</v>
      </c>
      <c r="B40" s="8" t="s">
        <v>214</v>
      </c>
      <c r="C40" s="8" t="s">
        <v>44</v>
      </c>
      <c r="D40" s="8" t="s">
        <v>28</v>
      </c>
      <c r="E40" s="8" t="s">
        <v>35</v>
      </c>
      <c r="F40" s="8" t="s">
        <v>88</v>
      </c>
      <c r="G40" s="8" t="s">
        <v>84</v>
      </c>
      <c r="H40" s="8" t="s">
        <v>90</v>
      </c>
      <c r="I40" s="11">
        <v>326.45811266430007</v>
      </c>
      <c r="J40" s="11">
        <v>326.59061742825281</v>
      </c>
      <c r="K40" s="11">
        <v>477.62115</v>
      </c>
      <c r="L40" s="11">
        <v>368.08333333333331</v>
      </c>
      <c r="M40" s="8" t="s">
        <v>215</v>
      </c>
      <c r="N40" s="8" t="s">
        <v>216</v>
      </c>
      <c r="O40" s="8" t="s">
        <v>208</v>
      </c>
      <c r="P40" s="8" t="s">
        <v>217</v>
      </c>
      <c r="Q40" s="11">
        <v>53.205170227322412</v>
      </c>
      <c r="R40" s="11">
        <v>59.004059141794428</v>
      </c>
    </row>
    <row r="41" spans="1:18" x14ac:dyDescent="0.25">
      <c r="A41" s="6">
        <v>37</v>
      </c>
      <c r="B41" s="6" t="s">
        <v>218</v>
      </c>
      <c r="C41" s="6" t="s">
        <v>42</v>
      </c>
      <c r="D41" s="6" t="s">
        <v>28</v>
      </c>
      <c r="E41" s="6" t="s">
        <v>35</v>
      </c>
      <c r="F41" s="6" t="s">
        <v>76</v>
      </c>
      <c r="G41" s="6" t="s">
        <v>219</v>
      </c>
      <c r="H41" s="6" t="s">
        <v>84</v>
      </c>
      <c r="I41" s="10">
        <v>249.12684837179509</v>
      </c>
      <c r="J41" s="10">
        <v>249.90720121217629</v>
      </c>
      <c r="K41" s="10">
        <v>261.38704999999999</v>
      </c>
      <c r="L41" s="10">
        <v>244.9409666666667</v>
      </c>
      <c r="M41" s="6" t="s">
        <v>220</v>
      </c>
      <c r="N41" s="6" t="s">
        <v>221</v>
      </c>
      <c r="O41" s="6" t="s">
        <v>85</v>
      </c>
      <c r="P41" s="6" t="s">
        <v>222</v>
      </c>
      <c r="Q41" s="10">
        <v>63.843688448222949</v>
      </c>
      <c r="R41" s="10">
        <v>67.45522324597772</v>
      </c>
    </row>
    <row r="42" spans="1:18" x14ac:dyDescent="0.25">
      <c r="A42" s="8">
        <v>38</v>
      </c>
      <c r="B42" s="8" t="s">
        <v>223</v>
      </c>
      <c r="C42" s="8" t="s">
        <v>42</v>
      </c>
      <c r="D42" s="8" t="s">
        <v>28</v>
      </c>
      <c r="E42" s="8" t="s">
        <v>31</v>
      </c>
      <c r="F42" s="8" t="s">
        <v>31</v>
      </c>
      <c r="G42" s="8" t="s">
        <v>224</v>
      </c>
      <c r="H42" s="8" t="s">
        <v>224</v>
      </c>
      <c r="I42" s="11">
        <v>326.35477257458922</v>
      </c>
      <c r="J42" s="11">
        <v>325.94609719425989</v>
      </c>
      <c r="K42" s="11">
        <v>395</v>
      </c>
      <c r="L42" s="11">
        <v>374.96151666666663</v>
      </c>
      <c r="M42" s="8" t="s">
        <v>225</v>
      </c>
      <c r="N42" s="8" t="s">
        <v>226</v>
      </c>
      <c r="O42" s="8" t="s">
        <v>227</v>
      </c>
      <c r="P42" s="8" t="s">
        <v>228</v>
      </c>
      <c r="Q42" s="11">
        <v>61.316237218779037</v>
      </c>
      <c r="R42" s="11">
        <v>59.540017015084743</v>
      </c>
    </row>
    <row r="43" spans="1:18" x14ac:dyDescent="0.25">
      <c r="A43" s="6">
        <v>39</v>
      </c>
      <c r="B43" s="6" t="s">
        <v>229</v>
      </c>
      <c r="C43" s="6" t="s">
        <v>44</v>
      </c>
      <c r="D43" s="6" t="s">
        <v>28</v>
      </c>
      <c r="E43" s="6" t="s">
        <v>31</v>
      </c>
      <c r="F43" s="6" t="s">
        <v>31</v>
      </c>
      <c r="G43" s="6" t="s">
        <v>224</v>
      </c>
      <c r="H43" s="6" t="s">
        <v>230</v>
      </c>
      <c r="I43" s="10">
        <v>325.41591380093507</v>
      </c>
      <c r="J43" s="10">
        <v>325.05351767503993</v>
      </c>
      <c r="K43" s="10">
        <v>392.37093333333343</v>
      </c>
      <c r="L43" s="10">
        <v>411.88261666666671</v>
      </c>
      <c r="M43" s="6" t="s">
        <v>231</v>
      </c>
      <c r="N43" s="6" t="s">
        <v>226</v>
      </c>
      <c r="O43" s="6" t="s">
        <v>232</v>
      </c>
      <c r="P43" s="6" t="s">
        <v>233</v>
      </c>
      <c r="Q43" s="10">
        <v>61.64781186469645</v>
      </c>
      <c r="R43" s="10">
        <v>56.977909507314003</v>
      </c>
    </row>
    <row r="44" spans="1:18" x14ac:dyDescent="0.25">
      <c r="A44" s="8">
        <v>40</v>
      </c>
      <c r="B44" s="8" t="s">
        <v>234</v>
      </c>
      <c r="C44" s="8" t="s">
        <v>44</v>
      </c>
      <c r="D44" s="8" t="s">
        <v>28</v>
      </c>
      <c r="E44" s="8" t="s">
        <v>31</v>
      </c>
      <c r="F44" s="8" t="s">
        <v>31</v>
      </c>
      <c r="G44" s="8" t="s">
        <v>224</v>
      </c>
      <c r="H44" s="8" t="s">
        <v>235</v>
      </c>
      <c r="I44" s="11">
        <v>326.42355177683419</v>
      </c>
      <c r="J44" s="11">
        <v>325.95210910875733</v>
      </c>
      <c r="K44" s="11">
        <v>395</v>
      </c>
      <c r="L44" s="11">
        <v>319.50481666666673</v>
      </c>
      <c r="M44" s="8" t="s">
        <v>225</v>
      </c>
      <c r="N44" s="8" t="s">
        <v>226</v>
      </c>
      <c r="O44" s="8" t="s">
        <v>236</v>
      </c>
      <c r="P44" s="8" t="s">
        <v>237</v>
      </c>
      <c r="Q44" s="11">
        <v>61.329177126178159</v>
      </c>
      <c r="R44" s="11">
        <v>62.637050944032119</v>
      </c>
    </row>
    <row r="45" spans="1:18" x14ac:dyDescent="0.25">
      <c r="A45" s="6">
        <v>41</v>
      </c>
      <c r="B45" s="6" t="s">
        <v>238</v>
      </c>
      <c r="C45" s="6" t="s">
        <v>44</v>
      </c>
      <c r="D45" s="6" t="s">
        <v>28</v>
      </c>
      <c r="E45" s="6" t="s">
        <v>31</v>
      </c>
      <c r="F45" s="6" t="s">
        <v>31</v>
      </c>
      <c r="G45" s="6" t="s">
        <v>235</v>
      </c>
      <c r="H45" s="6" t="s">
        <v>224</v>
      </c>
      <c r="I45" s="10">
        <v>325.44929939593982</v>
      </c>
      <c r="J45" s="10">
        <v>325.19747839743411</v>
      </c>
      <c r="K45" s="10">
        <v>353.84784999999999</v>
      </c>
      <c r="L45" s="10">
        <v>372.55040000000002</v>
      </c>
      <c r="M45" s="6" t="s">
        <v>239</v>
      </c>
      <c r="N45" s="6" t="s">
        <v>240</v>
      </c>
      <c r="O45" s="6" t="s">
        <v>227</v>
      </c>
      <c r="P45" s="6" t="s">
        <v>241</v>
      </c>
      <c r="Q45" s="10">
        <v>67.12149214202077</v>
      </c>
      <c r="R45" s="10">
        <v>59.843107131271857</v>
      </c>
    </row>
    <row r="46" spans="1:18" x14ac:dyDescent="0.25">
      <c r="A46" s="8">
        <v>42</v>
      </c>
      <c r="B46" s="8" t="s">
        <v>242</v>
      </c>
      <c r="C46" s="8" t="s">
        <v>42</v>
      </c>
      <c r="D46" s="8" t="s">
        <v>28</v>
      </c>
      <c r="E46" s="8" t="s">
        <v>33</v>
      </c>
      <c r="F46" s="8" t="s">
        <v>33</v>
      </c>
      <c r="G46" s="8" t="s">
        <v>243</v>
      </c>
      <c r="H46" s="8" t="s">
        <v>243</v>
      </c>
      <c r="I46" s="11">
        <v>321.86119576256169</v>
      </c>
      <c r="J46" s="11">
        <v>322.43341940471572</v>
      </c>
      <c r="K46" s="11">
        <v>405.77063333333331</v>
      </c>
      <c r="L46" s="11">
        <v>325.4048166666667</v>
      </c>
      <c r="M46" s="8" t="s">
        <v>244</v>
      </c>
      <c r="N46" s="8" t="s">
        <v>245</v>
      </c>
      <c r="O46" s="8" t="s">
        <v>246</v>
      </c>
      <c r="P46" s="8" t="s">
        <v>247</v>
      </c>
      <c r="Q46" s="11">
        <v>64.645314886366052</v>
      </c>
      <c r="R46" s="11">
        <v>63.964896238433653</v>
      </c>
    </row>
    <row r="47" spans="1:18" x14ac:dyDescent="0.25">
      <c r="A47" s="6">
        <v>43</v>
      </c>
      <c r="B47" s="6" t="s">
        <v>248</v>
      </c>
      <c r="C47" s="6" t="s">
        <v>44</v>
      </c>
      <c r="D47" s="6" t="s">
        <v>28</v>
      </c>
      <c r="E47" s="6" t="s">
        <v>33</v>
      </c>
      <c r="F47" s="6" t="s">
        <v>33</v>
      </c>
      <c r="G47" s="6" t="s">
        <v>243</v>
      </c>
      <c r="H47" s="6" t="s">
        <v>249</v>
      </c>
      <c r="I47" s="10">
        <v>322.17747430370082</v>
      </c>
      <c r="J47" s="10">
        <v>321.6269481176106</v>
      </c>
      <c r="K47" s="10">
        <v>446.45</v>
      </c>
      <c r="L47" s="10">
        <v>341.44238333333328</v>
      </c>
      <c r="M47" s="6" t="s">
        <v>250</v>
      </c>
      <c r="N47" s="6" t="s">
        <v>251</v>
      </c>
      <c r="O47" s="6" t="s">
        <v>252</v>
      </c>
      <c r="P47" s="6" t="s">
        <v>253</v>
      </c>
      <c r="Q47" s="10">
        <v>64.4401967523076</v>
      </c>
      <c r="R47" s="10">
        <v>64.281452951025713</v>
      </c>
    </row>
    <row r="48" spans="1:18" x14ac:dyDescent="0.25">
      <c r="A48" s="8">
        <v>44</v>
      </c>
      <c r="B48" s="8" t="s">
        <v>254</v>
      </c>
      <c r="C48" s="8" t="s">
        <v>44</v>
      </c>
      <c r="D48" s="8" t="s">
        <v>28</v>
      </c>
      <c r="E48" s="8" t="s">
        <v>33</v>
      </c>
      <c r="F48" s="8" t="s">
        <v>33</v>
      </c>
      <c r="G48" s="8" t="s">
        <v>249</v>
      </c>
      <c r="H48" s="8" t="s">
        <v>243</v>
      </c>
      <c r="I48" s="11">
        <v>324.42978832438968</v>
      </c>
      <c r="J48" s="11">
        <v>325.03506672854411</v>
      </c>
      <c r="K48" s="11">
        <v>408.62676666666658</v>
      </c>
      <c r="L48" s="11">
        <v>325.26549999999997</v>
      </c>
      <c r="M48" s="8" t="s">
        <v>255</v>
      </c>
      <c r="N48" s="8" t="s">
        <v>256</v>
      </c>
      <c r="O48" s="8" t="s">
        <v>257</v>
      </c>
      <c r="P48" s="8" t="s">
        <v>258</v>
      </c>
      <c r="Q48" s="11">
        <v>62.280657722390274</v>
      </c>
      <c r="R48" s="11">
        <v>63.759140657029413</v>
      </c>
    </row>
    <row r="49" spans="1:18" x14ac:dyDescent="0.25">
      <c r="A49" s="6">
        <v>45</v>
      </c>
      <c r="B49" s="6" t="s">
        <v>259</v>
      </c>
      <c r="C49" s="6" t="s">
        <v>44</v>
      </c>
      <c r="D49" s="6" t="s">
        <v>28</v>
      </c>
      <c r="E49" s="6" t="s">
        <v>33</v>
      </c>
      <c r="F49" s="6" t="s">
        <v>33</v>
      </c>
      <c r="G49" s="6" t="s">
        <v>243</v>
      </c>
      <c r="H49" s="6" t="s">
        <v>260</v>
      </c>
      <c r="I49" s="10">
        <v>322.27359408346013</v>
      </c>
      <c r="J49" s="10">
        <v>322.64698261892221</v>
      </c>
      <c r="K49" s="10">
        <v>446.45</v>
      </c>
      <c r="L49" s="10">
        <v>349.42598333333342</v>
      </c>
      <c r="M49" s="6" t="s">
        <v>250</v>
      </c>
      <c r="N49" s="6" t="s">
        <v>251</v>
      </c>
      <c r="O49" s="6" t="s">
        <v>261</v>
      </c>
      <c r="P49" s="6" t="s">
        <v>262</v>
      </c>
      <c r="Q49" s="10">
        <v>64.459443162404568</v>
      </c>
      <c r="R49" s="10">
        <v>59.875837357006112</v>
      </c>
    </row>
    <row r="50" spans="1:18" x14ac:dyDescent="0.25">
      <c r="A50" s="8">
        <v>46</v>
      </c>
      <c r="B50" s="8" t="s">
        <v>263</v>
      </c>
      <c r="C50" s="8" t="s">
        <v>44</v>
      </c>
      <c r="D50" s="8" t="s">
        <v>28</v>
      </c>
      <c r="E50" s="8" t="s">
        <v>33</v>
      </c>
      <c r="F50" s="8" t="s">
        <v>33</v>
      </c>
      <c r="G50" s="8" t="s">
        <v>260</v>
      </c>
      <c r="H50" s="8" t="s">
        <v>243</v>
      </c>
      <c r="I50" s="11">
        <v>324.93502838087829</v>
      </c>
      <c r="J50" s="11">
        <v>325.72634804024972</v>
      </c>
      <c r="K50" s="11">
        <v>394.6350333333333</v>
      </c>
      <c r="L50" s="11">
        <v>329.75</v>
      </c>
      <c r="M50" s="8" t="s">
        <v>264</v>
      </c>
      <c r="N50" s="8" t="s">
        <v>265</v>
      </c>
      <c r="O50" s="8" t="s">
        <v>246</v>
      </c>
      <c r="P50" s="8" t="s">
        <v>258</v>
      </c>
      <c r="Q50" s="11">
        <v>64.174151856789692</v>
      </c>
      <c r="R50" s="11">
        <v>63.702556250659107</v>
      </c>
    </row>
    <row r="51" spans="1:18" x14ac:dyDescent="0.25">
      <c r="A51" s="6">
        <v>47</v>
      </c>
      <c r="B51" s="6" t="s">
        <v>266</v>
      </c>
      <c r="C51" s="6" t="s">
        <v>44</v>
      </c>
      <c r="D51" s="6" t="s">
        <v>28</v>
      </c>
      <c r="E51" s="6" t="s">
        <v>31</v>
      </c>
      <c r="F51" s="6" t="s">
        <v>31</v>
      </c>
      <c r="G51" s="6" t="s">
        <v>235</v>
      </c>
      <c r="H51" s="6" t="s">
        <v>230</v>
      </c>
      <c r="I51" s="10">
        <v>325.38165129441143</v>
      </c>
      <c r="J51" s="10">
        <v>325.17312937934167</v>
      </c>
      <c r="K51" s="10">
        <v>353.84784999999999</v>
      </c>
      <c r="L51" s="10">
        <v>412.48813333333328</v>
      </c>
      <c r="M51" s="6" t="s">
        <v>239</v>
      </c>
      <c r="N51" s="6" t="s">
        <v>240</v>
      </c>
      <c r="O51" s="6" t="s">
        <v>267</v>
      </c>
      <c r="P51" s="6" t="s">
        <v>268</v>
      </c>
      <c r="Q51" s="10">
        <v>67.10753118315435</v>
      </c>
      <c r="R51" s="10">
        <v>57.067129814922858</v>
      </c>
    </row>
    <row r="52" spans="1:18" x14ac:dyDescent="0.25">
      <c r="A52" s="8">
        <v>48</v>
      </c>
      <c r="B52" s="8" t="s">
        <v>269</v>
      </c>
      <c r="C52" s="8" t="s">
        <v>42</v>
      </c>
      <c r="D52" s="8" t="s">
        <v>28</v>
      </c>
      <c r="E52" s="8" t="s">
        <v>33</v>
      </c>
      <c r="F52" s="8" t="s">
        <v>33</v>
      </c>
      <c r="G52" s="8" t="s">
        <v>249</v>
      </c>
      <c r="H52" s="8" t="s">
        <v>249</v>
      </c>
      <c r="I52" s="11">
        <v>325.39890709550622</v>
      </c>
      <c r="J52" s="11">
        <v>324.88432242009242</v>
      </c>
      <c r="K52" s="11">
        <v>410.73333333333329</v>
      </c>
      <c r="L52" s="11">
        <v>348.14720000000011</v>
      </c>
      <c r="M52" s="8" t="s">
        <v>255</v>
      </c>
      <c r="N52" s="8" t="s">
        <v>270</v>
      </c>
      <c r="O52" s="8" t="s">
        <v>271</v>
      </c>
      <c r="P52" s="8" t="s">
        <v>272</v>
      </c>
      <c r="Q52" s="11">
        <v>62.048170909885918</v>
      </c>
      <c r="R52" s="11">
        <v>63.51275377345894</v>
      </c>
    </row>
    <row r="53" spans="1:18" x14ac:dyDescent="0.25">
      <c r="A53" s="6">
        <v>49</v>
      </c>
      <c r="B53" s="6" t="s">
        <v>273</v>
      </c>
      <c r="C53" s="6" t="s">
        <v>44</v>
      </c>
      <c r="D53" s="6" t="s">
        <v>28</v>
      </c>
      <c r="E53" s="6" t="s">
        <v>33</v>
      </c>
      <c r="F53" s="6" t="s">
        <v>33</v>
      </c>
      <c r="G53" s="6" t="s">
        <v>249</v>
      </c>
      <c r="H53" s="6" t="s">
        <v>260</v>
      </c>
      <c r="I53" s="10">
        <v>323.75364208554902</v>
      </c>
      <c r="J53" s="10">
        <v>324.12513972731608</v>
      </c>
      <c r="K53" s="10">
        <v>407.74795</v>
      </c>
      <c r="L53" s="10">
        <v>346.04665</v>
      </c>
      <c r="M53" s="6" t="s">
        <v>255</v>
      </c>
      <c r="N53" s="6" t="s">
        <v>274</v>
      </c>
      <c r="O53" s="6" t="s">
        <v>275</v>
      </c>
      <c r="P53" s="6" t="s">
        <v>276</v>
      </c>
      <c r="Q53" s="10">
        <v>62.32616891116043</v>
      </c>
      <c r="R53" s="10">
        <v>60.09883681712126</v>
      </c>
    </row>
    <row r="54" spans="1:18" x14ac:dyDescent="0.25">
      <c r="A54" s="8">
        <v>50</v>
      </c>
      <c r="B54" s="8" t="s">
        <v>277</v>
      </c>
      <c r="C54" s="8" t="s">
        <v>44</v>
      </c>
      <c r="D54" s="8" t="s">
        <v>28</v>
      </c>
      <c r="E54" s="8" t="s">
        <v>33</v>
      </c>
      <c r="F54" s="8" t="s">
        <v>33</v>
      </c>
      <c r="G54" s="8" t="s">
        <v>260</v>
      </c>
      <c r="H54" s="8" t="s">
        <v>249</v>
      </c>
      <c r="I54" s="11">
        <v>326.46596224309337</v>
      </c>
      <c r="J54" s="11">
        <v>326.13414239444489</v>
      </c>
      <c r="K54" s="11">
        <v>420.64665000000002</v>
      </c>
      <c r="L54" s="11">
        <v>351.75</v>
      </c>
      <c r="M54" s="8" t="s">
        <v>278</v>
      </c>
      <c r="N54" s="8" t="s">
        <v>279</v>
      </c>
      <c r="O54" s="8" t="s">
        <v>252</v>
      </c>
      <c r="P54" s="8" t="s">
        <v>280</v>
      </c>
      <c r="Q54" s="11">
        <v>63.924179776882589</v>
      </c>
      <c r="R54" s="11">
        <v>63.016566640353268</v>
      </c>
    </row>
    <row r="55" spans="1:18" x14ac:dyDescent="0.25">
      <c r="A55" s="6">
        <v>51</v>
      </c>
      <c r="B55" s="6" t="s">
        <v>281</v>
      </c>
      <c r="C55" s="6" t="s">
        <v>42</v>
      </c>
      <c r="D55" s="6" t="s">
        <v>28</v>
      </c>
      <c r="E55" s="6" t="s">
        <v>29</v>
      </c>
      <c r="F55" s="6" t="s">
        <v>96</v>
      </c>
      <c r="G55" s="6" t="s">
        <v>122</v>
      </c>
      <c r="H55" s="6" t="s">
        <v>122</v>
      </c>
      <c r="I55" s="10">
        <v>153.67647670508151</v>
      </c>
      <c r="J55" s="10">
        <v>153.53074027842979</v>
      </c>
      <c r="K55" s="10">
        <v>265.81493333333327</v>
      </c>
      <c r="L55" s="10">
        <v>285.56666666666672</v>
      </c>
      <c r="M55" s="6" t="s">
        <v>282</v>
      </c>
      <c r="N55" s="6" t="s">
        <v>175</v>
      </c>
      <c r="O55" s="6" t="s">
        <v>124</v>
      </c>
      <c r="P55" s="6" t="s">
        <v>125</v>
      </c>
      <c r="Q55" s="10">
        <v>45.911373665924373</v>
      </c>
      <c r="R55" s="10">
        <v>41.347135164429552</v>
      </c>
    </row>
    <row r="56" spans="1:18" x14ac:dyDescent="0.25">
      <c r="A56" s="8">
        <v>52</v>
      </c>
      <c r="B56" s="8" t="s">
        <v>283</v>
      </c>
      <c r="C56" s="8" t="s">
        <v>42</v>
      </c>
      <c r="D56" s="8" t="s">
        <v>28</v>
      </c>
      <c r="E56" s="8" t="s">
        <v>29</v>
      </c>
      <c r="F56" s="8" t="s">
        <v>130</v>
      </c>
      <c r="G56" s="8" t="s">
        <v>154</v>
      </c>
      <c r="H56" s="8" t="s">
        <v>154</v>
      </c>
      <c r="I56" s="11">
        <v>151.56015677624401</v>
      </c>
      <c r="J56" s="11">
        <v>152.10930530550161</v>
      </c>
      <c r="K56" s="11">
        <v>263.95294999999999</v>
      </c>
      <c r="L56" s="11">
        <v>286.34036666666663</v>
      </c>
      <c r="M56" s="8" t="s">
        <v>284</v>
      </c>
      <c r="N56" s="8" t="s">
        <v>285</v>
      </c>
      <c r="O56" s="8" t="s">
        <v>156</v>
      </c>
      <c r="P56" s="8" t="s">
        <v>286</v>
      </c>
      <c r="Q56" s="11">
        <v>42.410120530327511</v>
      </c>
      <c r="R56" s="11">
        <v>36.293607322885208</v>
      </c>
    </row>
    <row r="57" spans="1:18" x14ac:dyDescent="0.25">
      <c r="A57" s="6">
        <v>53</v>
      </c>
      <c r="B57" s="6" t="s">
        <v>287</v>
      </c>
      <c r="C57" s="6" t="s">
        <v>42</v>
      </c>
      <c r="D57" s="6" t="s">
        <v>28</v>
      </c>
      <c r="E57" s="6" t="s">
        <v>31</v>
      </c>
      <c r="F57" s="6" t="s">
        <v>31</v>
      </c>
      <c r="G57" s="6" t="s">
        <v>235</v>
      </c>
      <c r="H57" s="6" t="s">
        <v>235</v>
      </c>
      <c r="I57" s="10">
        <v>325.4090582064992</v>
      </c>
      <c r="J57" s="10">
        <v>325.0956316318464</v>
      </c>
      <c r="K57" s="10">
        <v>353.84784999999999</v>
      </c>
      <c r="L57" s="10">
        <v>317.94676666666669</v>
      </c>
      <c r="M57" s="6" t="s">
        <v>239</v>
      </c>
      <c r="N57" s="6" t="s">
        <v>240</v>
      </c>
      <c r="O57" s="6" t="s">
        <v>236</v>
      </c>
      <c r="P57" s="6" t="s">
        <v>288</v>
      </c>
      <c r="Q57" s="10">
        <v>67.113187317822849</v>
      </c>
      <c r="R57" s="10">
        <v>62.785790581976698</v>
      </c>
    </row>
    <row r="58" spans="1:18" x14ac:dyDescent="0.25">
      <c r="A58" s="8">
        <v>54</v>
      </c>
      <c r="B58" s="8" t="s">
        <v>289</v>
      </c>
      <c r="C58" s="8" t="s">
        <v>42</v>
      </c>
      <c r="D58" s="8" t="s">
        <v>28</v>
      </c>
      <c r="E58" s="8" t="s">
        <v>33</v>
      </c>
      <c r="F58" s="8" t="s">
        <v>33</v>
      </c>
      <c r="G58" s="8" t="s">
        <v>260</v>
      </c>
      <c r="H58" s="8" t="s">
        <v>260</v>
      </c>
      <c r="I58" s="11">
        <v>324.46950740183598</v>
      </c>
      <c r="J58" s="11">
        <v>325.03344841128018</v>
      </c>
      <c r="K58" s="11">
        <v>417.36546666666669</v>
      </c>
      <c r="L58" s="11">
        <v>352.73333333333329</v>
      </c>
      <c r="M58" s="8" t="s">
        <v>278</v>
      </c>
      <c r="N58" s="8" t="s">
        <v>290</v>
      </c>
      <c r="O58" s="8" t="s">
        <v>261</v>
      </c>
      <c r="P58" s="8" t="s">
        <v>276</v>
      </c>
      <c r="Q58" s="11">
        <v>64.21541291915878</v>
      </c>
      <c r="R58" s="11">
        <v>59.707655911824418</v>
      </c>
    </row>
    <row r="61" spans="1:18" ht="27.95" customHeight="1" x14ac:dyDescent="0.25">
      <c r="A61" s="55" t="s">
        <v>291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</row>
    <row r="62" spans="1:18" ht="3.9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4" spans="1:18" ht="30" x14ac:dyDescent="0.25">
      <c r="A64" s="9" t="s">
        <v>59</v>
      </c>
      <c r="B64" s="9" t="s">
        <v>60</v>
      </c>
      <c r="C64" s="9" t="s">
        <v>292</v>
      </c>
      <c r="D64" s="9" t="s">
        <v>24</v>
      </c>
      <c r="E64" s="9" t="s">
        <v>61</v>
      </c>
      <c r="F64" s="9" t="s">
        <v>62</v>
      </c>
      <c r="G64" s="9" t="s">
        <v>293</v>
      </c>
      <c r="H64" s="9" t="s">
        <v>294</v>
      </c>
      <c r="I64" s="9" t="s">
        <v>295</v>
      </c>
      <c r="J64" s="9" t="s">
        <v>296</v>
      </c>
      <c r="K64" s="9" t="s">
        <v>297</v>
      </c>
      <c r="L64" s="9" t="s">
        <v>298</v>
      </c>
      <c r="M64" s="9" t="s">
        <v>299</v>
      </c>
    </row>
    <row r="65" spans="1:13" x14ac:dyDescent="0.25">
      <c r="A65" s="6">
        <v>1</v>
      </c>
      <c r="B65" s="6" t="s">
        <v>75</v>
      </c>
      <c r="C65" s="6" t="s">
        <v>300</v>
      </c>
      <c r="D65" s="6" t="s">
        <v>28</v>
      </c>
      <c r="E65" s="6" t="s">
        <v>35</v>
      </c>
      <c r="F65" s="6" t="s">
        <v>76</v>
      </c>
      <c r="G65" s="10">
        <v>30</v>
      </c>
      <c r="H65" s="10">
        <v>23.65</v>
      </c>
      <c r="I65" s="10">
        <v>25.7</v>
      </c>
      <c r="J65" s="10">
        <v>7.6</v>
      </c>
      <c r="K65" s="10">
        <v>61.423733333333331</v>
      </c>
      <c r="L65" s="10">
        <v>45.18333333333333</v>
      </c>
      <c r="M65" s="10">
        <v>150.2833333333333</v>
      </c>
    </row>
    <row r="66" spans="1:13" x14ac:dyDescent="0.25">
      <c r="A66" s="8">
        <v>1</v>
      </c>
      <c r="B66" s="8" t="s">
        <v>75</v>
      </c>
      <c r="C66" s="8" t="s">
        <v>301</v>
      </c>
      <c r="D66" s="8" t="s">
        <v>28</v>
      </c>
      <c r="E66" s="8" t="s">
        <v>35</v>
      </c>
      <c r="F66" s="8" t="s">
        <v>76</v>
      </c>
      <c r="G66" s="11">
        <v>0</v>
      </c>
      <c r="H66" s="11">
        <v>18.100000000000001</v>
      </c>
      <c r="I66" s="11">
        <v>6.6666666666666666E-2</v>
      </c>
      <c r="J66" s="11">
        <v>1.75</v>
      </c>
      <c r="K66" s="11">
        <v>57.690849999999998</v>
      </c>
      <c r="L66" s="11">
        <v>41.383333333333333</v>
      </c>
      <c r="M66" s="11">
        <v>192.51666666666671</v>
      </c>
    </row>
    <row r="67" spans="1:13" x14ac:dyDescent="0.25">
      <c r="A67" s="6">
        <v>2</v>
      </c>
      <c r="B67" s="6" t="s">
        <v>83</v>
      </c>
      <c r="C67" s="6" t="s">
        <v>300</v>
      </c>
      <c r="D67" s="6" t="s">
        <v>28</v>
      </c>
      <c r="E67" s="6" t="s">
        <v>35</v>
      </c>
      <c r="F67" s="6" t="s">
        <v>76</v>
      </c>
      <c r="G67" s="10">
        <v>30</v>
      </c>
      <c r="H67" s="10">
        <v>23.65</v>
      </c>
      <c r="I67" s="10">
        <v>25.7</v>
      </c>
      <c r="J67" s="10">
        <v>7.6</v>
      </c>
      <c r="K67" s="10">
        <v>61.423733333333331</v>
      </c>
      <c r="L67" s="10">
        <v>45.18333333333333</v>
      </c>
      <c r="M67" s="10">
        <v>150.2833333333333</v>
      </c>
    </row>
    <row r="68" spans="1:13" x14ac:dyDescent="0.25">
      <c r="A68" s="8">
        <v>2</v>
      </c>
      <c r="B68" s="8" t="s">
        <v>83</v>
      </c>
      <c r="C68" s="8" t="s">
        <v>301</v>
      </c>
      <c r="D68" s="8" t="s">
        <v>28</v>
      </c>
      <c r="E68" s="8" t="s">
        <v>35</v>
      </c>
      <c r="F68" s="8" t="s">
        <v>76</v>
      </c>
      <c r="G68" s="11">
        <v>0</v>
      </c>
      <c r="H68" s="11">
        <v>16.43333333333333</v>
      </c>
      <c r="I68" s="11">
        <v>6.9833333333333334</v>
      </c>
      <c r="J68" s="11">
        <v>5</v>
      </c>
      <c r="K68" s="11">
        <v>60.018216666666667</v>
      </c>
      <c r="L68" s="11">
        <v>42.633333333333333</v>
      </c>
      <c r="M68" s="11">
        <v>167.95</v>
      </c>
    </row>
    <row r="69" spans="1:13" x14ac:dyDescent="0.25">
      <c r="A69" s="6">
        <v>3</v>
      </c>
      <c r="B69" s="6" t="s">
        <v>87</v>
      </c>
      <c r="C69" s="6" t="s">
        <v>300</v>
      </c>
      <c r="D69" s="6" t="s">
        <v>28</v>
      </c>
      <c r="E69" s="6" t="s">
        <v>35</v>
      </c>
      <c r="F69" s="6" t="s">
        <v>88</v>
      </c>
      <c r="G69" s="10">
        <v>38.333333333333343</v>
      </c>
      <c r="H69" s="10">
        <v>10.56666666666667</v>
      </c>
      <c r="I69" s="10">
        <v>0</v>
      </c>
      <c r="J69" s="10">
        <v>0.66666666666666663</v>
      </c>
      <c r="K69" s="10">
        <v>49.31666666666667</v>
      </c>
      <c r="L69" s="10">
        <v>44.583333333333343</v>
      </c>
      <c r="M69" s="10">
        <v>202.15</v>
      </c>
    </row>
    <row r="70" spans="1:13" x14ac:dyDescent="0.25">
      <c r="A70" s="8">
        <v>3</v>
      </c>
      <c r="B70" s="8" t="s">
        <v>87</v>
      </c>
      <c r="C70" s="8" t="s">
        <v>301</v>
      </c>
      <c r="D70" s="8" t="s">
        <v>28</v>
      </c>
      <c r="E70" s="8" t="s">
        <v>35</v>
      </c>
      <c r="F70" s="8" t="s">
        <v>88</v>
      </c>
      <c r="G70" s="11">
        <v>0</v>
      </c>
      <c r="H70" s="11">
        <v>35.983333333333327</v>
      </c>
      <c r="I70" s="11">
        <v>0.35</v>
      </c>
      <c r="J70" s="11">
        <v>4.083333333333333</v>
      </c>
      <c r="K70" s="11">
        <v>62.087049999999998</v>
      </c>
      <c r="L70" s="11">
        <v>50.533333333333331</v>
      </c>
      <c r="M70" s="11">
        <v>205.36038333333329</v>
      </c>
    </row>
    <row r="71" spans="1:13" x14ac:dyDescent="0.25">
      <c r="A71" s="6">
        <v>4</v>
      </c>
      <c r="B71" s="6" t="s">
        <v>95</v>
      </c>
      <c r="C71" s="6" t="s">
        <v>300</v>
      </c>
      <c r="D71" s="6" t="s">
        <v>28</v>
      </c>
      <c r="E71" s="6" t="s">
        <v>29</v>
      </c>
      <c r="F71" s="6" t="s">
        <v>96</v>
      </c>
      <c r="G71" s="10">
        <v>0</v>
      </c>
      <c r="H71" s="10">
        <v>25.883333333333329</v>
      </c>
      <c r="I71" s="10">
        <v>8.15</v>
      </c>
      <c r="J71" s="10">
        <v>8.0166666666666675</v>
      </c>
      <c r="K71" s="10">
        <v>55.883333333333333</v>
      </c>
      <c r="L71" s="10">
        <v>40.116666666666667</v>
      </c>
      <c r="M71" s="10">
        <v>102.3936333333333</v>
      </c>
    </row>
    <row r="72" spans="1:13" x14ac:dyDescent="0.25">
      <c r="A72" s="8">
        <v>4</v>
      </c>
      <c r="B72" s="8" t="s">
        <v>95</v>
      </c>
      <c r="C72" s="8" t="s">
        <v>301</v>
      </c>
      <c r="D72" s="8" t="s">
        <v>28</v>
      </c>
      <c r="E72" s="8" t="s">
        <v>29</v>
      </c>
      <c r="F72" s="8" t="s">
        <v>96</v>
      </c>
      <c r="G72" s="11">
        <v>0</v>
      </c>
      <c r="H72" s="11">
        <v>69.483333333333334</v>
      </c>
      <c r="I72" s="11">
        <v>9.9499999999999993</v>
      </c>
      <c r="J72" s="11">
        <v>1.716666666666667</v>
      </c>
      <c r="K72" s="11">
        <v>25.133333333333329</v>
      </c>
      <c r="L72" s="11">
        <v>23.43333333333333</v>
      </c>
      <c r="M72" s="11">
        <v>144.6333333333333</v>
      </c>
    </row>
    <row r="73" spans="1:13" x14ac:dyDescent="0.25">
      <c r="A73" s="6">
        <v>5</v>
      </c>
      <c r="B73" s="6" t="s">
        <v>102</v>
      </c>
      <c r="C73" s="6" t="s">
        <v>300</v>
      </c>
      <c r="D73" s="6" t="s">
        <v>28</v>
      </c>
      <c r="E73" s="6" t="s">
        <v>29</v>
      </c>
      <c r="F73" s="6" t="s">
        <v>96</v>
      </c>
      <c r="G73" s="10">
        <v>0</v>
      </c>
      <c r="H73" s="10">
        <v>25.883333333333329</v>
      </c>
      <c r="I73" s="10">
        <v>4.9333333333333336</v>
      </c>
      <c r="J73" s="10">
        <v>5.9333333333333336</v>
      </c>
      <c r="K73" s="10">
        <v>52.333333333333343</v>
      </c>
      <c r="L73" s="10">
        <v>37.574966666666668</v>
      </c>
      <c r="M73" s="10">
        <v>82.933616666666666</v>
      </c>
    </row>
    <row r="74" spans="1:13" x14ac:dyDescent="0.25">
      <c r="A74" s="8">
        <v>5</v>
      </c>
      <c r="B74" s="8" t="s">
        <v>102</v>
      </c>
      <c r="C74" s="8" t="s">
        <v>301</v>
      </c>
      <c r="D74" s="8" t="s">
        <v>28</v>
      </c>
      <c r="E74" s="8" t="s">
        <v>29</v>
      </c>
      <c r="F74" s="8" t="s">
        <v>96</v>
      </c>
      <c r="G74" s="11">
        <v>0</v>
      </c>
      <c r="H74" s="11">
        <v>31.8</v>
      </c>
      <c r="I74" s="11">
        <v>0</v>
      </c>
      <c r="J74" s="11">
        <v>1.5</v>
      </c>
      <c r="K74" s="11">
        <v>30.466666666666669</v>
      </c>
      <c r="L74" s="11">
        <v>23</v>
      </c>
      <c r="M74" s="11">
        <v>134.3833333333333</v>
      </c>
    </row>
    <row r="75" spans="1:13" x14ac:dyDescent="0.25">
      <c r="A75" s="6">
        <v>6</v>
      </c>
      <c r="B75" s="6" t="s">
        <v>108</v>
      </c>
      <c r="C75" s="6" t="s">
        <v>300</v>
      </c>
      <c r="D75" s="6" t="s">
        <v>28</v>
      </c>
      <c r="E75" s="6" t="s">
        <v>29</v>
      </c>
      <c r="F75" s="6" t="s">
        <v>96</v>
      </c>
      <c r="G75" s="10">
        <v>0</v>
      </c>
      <c r="H75" s="10">
        <v>30.18333333333333</v>
      </c>
      <c r="I75" s="10">
        <v>14.29151666666667</v>
      </c>
      <c r="J75" s="10">
        <v>2.1</v>
      </c>
      <c r="K75" s="10">
        <v>48.092233333333333</v>
      </c>
      <c r="L75" s="10">
        <v>33.450000000000003</v>
      </c>
      <c r="M75" s="10">
        <v>93.4</v>
      </c>
    </row>
    <row r="76" spans="1:13" x14ac:dyDescent="0.25">
      <c r="A76" s="8">
        <v>6</v>
      </c>
      <c r="B76" s="8" t="s">
        <v>108</v>
      </c>
      <c r="C76" s="8" t="s">
        <v>301</v>
      </c>
      <c r="D76" s="8" t="s">
        <v>28</v>
      </c>
      <c r="E76" s="8" t="s">
        <v>29</v>
      </c>
      <c r="F76" s="8" t="s">
        <v>96</v>
      </c>
      <c r="G76" s="11">
        <v>0</v>
      </c>
      <c r="H76" s="11">
        <v>69.483333333333334</v>
      </c>
      <c r="I76" s="11">
        <v>9.9499999999999993</v>
      </c>
      <c r="J76" s="11">
        <v>1.716666666666667</v>
      </c>
      <c r="K76" s="11">
        <v>25.133333333333329</v>
      </c>
      <c r="L76" s="11">
        <v>23.43333333333333</v>
      </c>
      <c r="M76" s="11">
        <v>144.6333333333333</v>
      </c>
    </row>
    <row r="77" spans="1:13" x14ac:dyDescent="0.25">
      <c r="A77" s="6">
        <v>7</v>
      </c>
      <c r="B77" s="6" t="s">
        <v>111</v>
      </c>
      <c r="C77" s="6" t="s">
        <v>300</v>
      </c>
      <c r="D77" s="6" t="s">
        <v>28</v>
      </c>
      <c r="E77" s="6" t="s">
        <v>29</v>
      </c>
      <c r="F77" s="6" t="s">
        <v>96</v>
      </c>
      <c r="G77" s="10">
        <v>0</v>
      </c>
      <c r="H77" s="10">
        <v>29.40441666666667</v>
      </c>
      <c r="I77" s="10">
        <v>9.2371500000000015</v>
      </c>
      <c r="J77" s="10">
        <v>8.0166666666666675</v>
      </c>
      <c r="K77" s="10">
        <v>55.05</v>
      </c>
      <c r="L77" s="10">
        <v>38.85</v>
      </c>
      <c r="M77" s="10">
        <v>92.333333333333329</v>
      </c>
    </row>
    <row r="78" spans="1:13" x14ac:dyDescent="0.25">
      <c r="A78" s="8">
        <v>7</v>
      </c>
      <c r="B78" s="8" t="s">
        <v>111</v>
      </c>
      <c r="C78" s="8" t="s">
        <v>301</v>
      </c>
      <c r="D78" s="8" t="s">
        <v>28</v>
      </c>
      <c r="E78" s="8" t="s">
        <v>29</v>
      </c>
      <c r="F78" s="8" t="s">
        <v>96</v>
      </c>
      <c r="G78" s="11">
        <v>0</v>
      </c>
      <c r="H78" s="11">
        <v>71.083333333333329</v>
      </c>
      <c r="I78" s="11">
        <v>4.05</v>
      </c>
      <c r="J78" s="11">
        <v>11.6</v>
      </c>
      <c r="K78" s="11">
        <v>38.68333333333333</v>
      </c>
      <c r="L78" s="11">
        <v>26.81666666666667</v>
      </c>
      <c r="M78" s="11">
        <v>116.98333333333331</v>
      </c>
    </row>
    <row r="79" spans="1:13" x14ac:dyDescent="0.25">
      <c r="A79" s="6">
        <v>8</v>
      </c>
      <c r="B79" s="6" t="s">
        <v>117</v>
      </c>
      <c r="C79" s="6" t="s">
        <v>300</v>
      </c>
      <c r="D79" s="6" t="s">
        <v>28</v>
      </c>
      <c r="E79" s="6" t="s">
        <v>29</v>
      </c>
      <c r="F79" s="6" t="s">
        <v>96</v>
      </c>
      <c r="G79" s="10">
        <v>0</v>
      </c>
      <c r="H79" s="10">
        <v>12.03333333333333</v>
      </c>
      <c r="I79" s="10">
        <v>4.75</v>
      </c>
      <c r="J79" s="10">
        <v>0</v>
      </c>
      <c r="K79" s="10">
        <v>46.9</v>
      </c>
      <c r="L79" s="10">
        <v>35.549999999999997</v>
      </c>
      <c r="M79" s="10">
        <v>100.5468</v>
      </c>
    </row>
    <row r="80" spans="1:13" x14ac:dyDescent="0.25">
      <c r="A80" s="8">
        <v>8</v>
      </c>
      <c r="B80" s="8" t="s">
        <v>117</v>
      </c>
      <c r="C80" s="8" t="s">
        <v>301</v>
      </c>
      <c r="D80" s="8" t="s">
        <v>28</v>
      </c>
      <c r="E80" s="8" t="s">
        <v>29</v>
      </c>
      <c r="F80" s="8" t="s">
        <v>96</v>
      </c>
      <c r="G80" s="11">
        <v>0</v>
      </c>
      <c r="H80" s="11">
        <v>69.483333333333334</v>
      </c>
      <c r="I80" s="11">
        <v>9.9499999999999993</v>
      </c>
      <c r="J80" s="11">
        <v>1.2666666666666671</v>
      </c>
      <c r="K80" s="11">
        <v>25.12543333333333</v>
      </c>
      <c r="L80" s="11">
        <v>23.43333333333333</v>
      </c>
      <c r="M80" s="11">
        <v>143.44999999999999</v>
      </c>
    </row>
    <row r="81" spans="1:13" x14ac:dyDescent="0.25">
      <c r="A81" s="6">
        <v>9</v>
      </c>
      <c r="B81" s="6" t="s">
        <v>121</v>
      </c>
      <c r="C81" s="6" t="s">
        <v>300</v>
      </c>
      <c r="D81" s="6" t="s">
        <v>28</v>
      </c>
      <c r="E81" s="6" t="s">
        <v>29</v>
      </c>
      <c r="F81" s="6" t="s">
        <v>96</v>
      </c>
      <c r="G81" s="10">
        <v>0</v>
      </c>
      <c r="H81" s="10">
        <v>68.95</v>
      </c>
      <c r="I81" s="10">
        <v>8.15</v>
      </c>
      <c r="J81" s="10">
        <v>8.0166666666666675</v>
      </c>
      <c r="K81" s="10">
        <v>58.3</v>
      </c>
      <c r="L81" s="10">
        <v>42.616666666666667</v>
      </c>
      <c r="M81" s="10">
        <v>113.4713666666667</v>
      </c>
    </row>
    <row r="82" spans="1:13" x14ac:dyDescent="0.25">
      <c r="A82" s="8">
        <v>9</v>
      </c>
      <c r="B82" s="8" t="s">
        <v>121</v>
      </c>
      <c r="C82" s="8" t="s">
        <v>301</v>
      </c>
      <c r="D82" s="8" t="s">
        <v>28</v>
      </c>
      <c r="E82" s="8" t="s">
        <v>29</v>
      </c>
      <c r="F82" s="8" t="s">
        <v>96</v>
      </c>
      <c r="G82" s="11">
        <v>0</v>
      </c>
      <c r="H82" s="11">
        <v>48.18333333333333</v>
      </c>
      <c r="I82" s="11">
        <v>17.666666666666671</v>
      </c>
      <c r="J82" s="11">
        <v>9.9</v>
      </c>
      <c r="K82" s="11">
        <v>51.033333333333331</v>
      </c>
      <c r="L82" s="11">
        <v>37.133333333333333</v>
      </c>
      <c r="M82" s="11">
        <v>121.65</v>
      </c>
    </row>
    <row r="83" spans="1:13" x14ac:dyDescent="0.25">
      <c r="A83" s="6">
        <v>10</v>
      </c>
      <c r="B83" s="6" t="s">
        <v>126</v>
      </c>
      <c r="C83" s="6" t="s">
        <v>300</v>
      </c>
      <c r="D83" s="6" t="s">
        <v>28</v>
      </c>
      <c r="E83" s="6" t="s">
        <v>29</v>
      </c>
      <c r="F83" s="6" t="s">
        <v>96</v>
      </c>
      <c r="G83" s="10">
        <v>0</v>
      </c>
      <c r="H83" s="10">
        <v>35.56666666666667</v>
      </c>
      <c r="I83" s="10">
        <v>26.165716666666661</v>
      </c>
      <c r="J83" s="10">
        <v>2.0499999999999998</v>
      </c>
      <c r="K83" s="10">
        <v>63.035266666666672</v>
      </c>
      <c r="L83" s="10">
        <v>45.45</v>
      </c>
      <c r="M83" s="10">
        <v>75</v>
      </c>
    </row>
    <row r="84" spans="1:13" x14ac:dyDescent="0.25">
      <c r="A84" s="8">
        <v>10</v>
      </c>
      <c r="B84" s="8" t="s">
        <v>126</v>
      </c>
      <c r="C84" s="8" t="s">
        <v>301</v>
      </c>
      <c r="D84" s="8" t="s">
        <v>28</v>
      </c>
      <c r="E84" s="8" t="s">
        <v>29</v>
      </c>
      <c r="F84" s="8" t="s">
        <v>96</v>
      </c>
      <c r="G84" s="11">
        <v>0</v>
      </c>
      <c r="H84" s="11">
        <v>69.483333333333334</v>
      </c>
      <c r="I84" s="11">
        <v>9.9499999999999993</v>
      </c>
      <c r="J84" s="11">
        <v>1.716666666666667</v>
      </c>
      <c r="K84" s="11">
        <v>25.133333333333329</v>
      </c>
      <c r="L84" s="11">
        <v>23.43333333333333</v>
      </c>
      <c r="M84" s="11">
        <v>144.6333333333333</v>
      </c>
    </row>
    <row r="85" spans="1:13" x14ac:dyDescent="0.25">
      <c r="A85" s="6">
        <v>11</v>
      </c>
      <c r="B85" s="6" t="s">
        <v>129</v>
      </c>
      <c r="C85" s="6" t="s">
        <v>300</v>
      </c>
      <c r="D85" s="6" t="s">
        <v>28</v>
      </c>
      <c r="E85" s="6" t="s">
        <v>29</v>
      </c>
      <c r="F85" s="6" t="s">
        <v>130</v>
      </c>
      <c r="G85" s="10">
        <v>0</v>
      </c>
      <c r="H85" s="10">
        <v>43.485533333333343</v>
      </c>
      <c r="I85" s="10">
        <v>7.55</v>
      </c>
      <c r="J85" s="10">
        <v>4.0999999999999996</v>
      </c>
      <c r="K85" s="10">
        <v>52.5</v>
      </c>
      <c r="L85" s="10">
        <v>37.471449999999997</v>
      </c>
      <c r="M85" s="10">
        <v>96.266666666666666</v>
      </c>
    </row>
    <row r="86" spans="1:13" x14ac:dyDescent="0.25">
      <c r="A86" s="8">
        <v>11</v>
      </c>
      <c r="B86" s="8" t="s">
        <v>129</v>
      </c>
      <c r="C86" s="8" t="s">
        <v>301</v>
      </c>
      <c r="D86" s="8" t="s">
        <v>28</v>
      </c>
      <c r="E86" s="8" t="s">
        <v>29</v>
      </c>
      <c r="F86" s="8" t="s">
        <v>130</v>
      </c>
      <c r="G86" s="11">
        <v>0</v>
      </c>
      <c r="H86" s="11">
        <v>36.983333333333327</v>
      </c>
      <c r="I86" s="11">
        <v>4.5</v>
      </c>
      <c r="J86" s="11">
        <v>1.6166666666666669</v>
      </c>
      <c r="K86" s="11">
        <v>42.43333333333333</v>
      </c>
      <c r="L86" s="11">
        <v>34.950000000000003</v>
      </c>
      <c r="M86" s="11">
        <v>121.1324333333333</v>
      </c>
    </row>
    <row r="87" spans="1:13" x14ac:dyDescent="0.25">
      <c r="A87" s="6">
        <v>12</v>
      </c>
      <c r="B87" s="6" t="s">
        <v>136</v>
      </c>
      <c r="C87" s="6" t="s">
        <v>300</v>
      </c>
      <c r="D87" s="6" t="s">
        <v>28</v>
      </c>
      <c r="E87" s="6" t="s">
        <v>29</v>
      </c>
      <c r="F87" s="6" t="s">
        <v>130</v>
      </c>
      <c r="G87" s="10">
        <v>0</v>
      </c>
      <c r="H87" s="10">
        <v>26.368866666666669</v>
      </c>
      <c r="I87" s="10">
        <v>7.3148666666666662</v>
      </c>
      <c r="J87" s="10">
        <v>0</v>
      </c>
      <c r="K87" s="10">
        <v>48.733333333333327</v>
      </c>
      <c r="L87" s="10">
        <v>36.266666666666673</v>
      </c>
      <c r="M87" s="10">
        <v>81.2</v>
      </c>
    </row>
    <row r="88" spans="1:13" x14ac:dyDescent="0.25">
      <c r="A88" s="8">
        <v>12</v>
      </c>
      <c r="B88" s="8" t="s">
        <v>136</v>
      </c>
      <c r="C88" s="8" t="s">
        <v>301</v>
      </c>
      <c r="D88" s="8" t="s">
        <v>28</v>
      </c>
      <c r="E88" s="8" t="s">
        <v>29</v>
      </c>
      <c r="F88" s="8" t="s">
        <v>130</v>
      </c>
      <c r="G88" s="11">
        <v>0</v>
      </c>
      <c r="H88" s="11">
        <v>23.716666666666669</v>
      </c>
      <c r="I88" s="11">
        <v>4.4333333333333336</v>
      </c>
      <c r="J88" s="11">
        <v>9.5500000000000007</v>
      </c>
      <c r="K88" s="11">
        <v>50.65</v>
      </c>
      <c r="L88" s="11">
        <v>34.233333333333327</v>
      </c>
      <c r="M88" s="11">
        <v>109.3</v>
      </c>
    </row>
    <row r="89" spans="1:13" x14ac:dyDescent="0.25">
      <c r="A89" s="6">
        <v>13</v>
      </c>
      <c r="B89" s="6" t="s">
        <v>141</v>
      </c>
      <c r="C89" s="6" t="s">
        <v>300</v>
      </c>
      <c r="D89" s="6" t="s">
        <v>28</v>
      </c>
      <c r="E89" s="6" t="s">
        <v>29</v>
      </c>
      <c r="F89" s="6" t="s">
        <v>130</v>
      </c>
      <c r="G89" s="10">
        <v>0</v>
      </c>
      <c r="H89" s="10">
        <v>32.85</v>
      </c>
      <c r="I89" s="10">
        <v>9.1368999999999989</v>
      </c>
      <c r="J89" s="10">
        <v>5.6833333333333336</v>
      </c>
      <c r="K89" s="10">
        <v>57.616666666666667</v>
      </c>
      <c r="L89" s="10">
        <v>44.190649999999998</v>
      </c>
      <c r="M89" s="10">
        <v>102.23333333333331</v>
      </c>
    </row>
    <row r="90" spans="1:13" x14ac:dyDescent="0.25">
      <c r="A90" s="8">
        <v>13</v>
      </c>
      <c r="B90" s="8" t="s">
        <v>141</v>
      </c>
      <c r="C90" s="8" t="s">
        <v>301</v>
      </c>
      <c r="D90" s="8" t="s">
        <v>28</v>
      </c>
      <c r="E90" s="8" t="s">
        <v>29</v>
      </c>
      <c r="F90" s="8" t="s">
        <v>130</v>
      </c>
      <c r="G90" s="11">
        <v>0</v>
      </c>
      <c r="H90" s="11">
        <v>36.983333333333327</v>
      </c>
      <c r="I90" s="11">
        <v>4.5</v>
      </c>
      <c r="J90" s="11">
        <v>1.6166666666666669</v>
      </c>
      <c r="K90" s="11">
        <v>42.43333333333333</v>
      </c>
      <c r="L90" s="11">
        <v>34.950000000000003</v>
      </c>
      <c r="M90" s="11">
        <v>121.1324333333333</v>
      </c>
    </row>
    <row r="91" spans="1:13" x14ac:dyDescent="0.25">
      <c r="A91" s="6">
        <v>14</v>
      </c>
      <c r="B91" s="6" t="s">
        <v>144</v>
      </c>
      <c r="C91" s="6" t="s">
        <v>300</v>
      </c>
      <c r="D91" s="6" t="s">
        <v>28</v>
      </c>
      <c r="E91" s="6" t="s">
        <v>29</v>
      </c>
      <c r="F91" s="6" t="s">
        <v>130</v>
      </c>
      <c r="G91" s="10">
        <v>0</v>
      </c>
      <c r="H91" s="10">
        <v>35.5</v>
      </c>
      <c r="I91" s="10">
        <v>6.9833333333333334</v>
      </c>
      <c r="J91" s="10">
        <v>4.0999999999999996</v>
      </c>
      <c r="K91" s="10">
        <v>44.283333333333331</v>
      </c>
      <c r="L91" s="10">
        <v>31.216666666666669</v>
      </c>
      <c r="M91" s="10">
        <v>83.670550000000006</v>
      </c>
    </row>
    <row r="92" spans="1:13" x14ac:dyDescent="0.25">
      <c r="A92" s="8">
        <v>14</v>
      </c>
      <c r="B92" s="8" t="s">
        <v>144</v>
      </c>
      <c r="C92" s="8" t="s">
        <v>301</v>
      </c>
      <c r="D92" s="8" t="s">
        <v>28</v>
      </c>
      <c r="E92" s="8" t="s">
        <v>29</v>
      </c>
      <c r="F92" s="8" t="s">
        <v>130</v>
      </c>
      <c r="G92" s="11">
        <v>0</v>
      </c>
      <c r="H92" s="11">
        <v>21.383333333333329</v>
      </c>
      <c r="I92" s="11">
        <v>1</v>
      </c>
      <c r="J92" s="11">
        <v>0</v>
      </c>
      <c r="K92" s="11">
        <v>39.18333333333333</v>
      </c>
      <c r="L92" s="11">
        <v>30.466666666666669</v>
      </c>
      <c r="M92" s="11">
        <v>102.92506666666669</v>
      </c>
    </row>
    <row r="93" spans="1:13" x14ac:dyDescent="0.25">
      <c r="A93" s="6">
        <v>15</v>
      </c>
      <c r="B93" s="6" t="s">
        <v>150</v>
      </c>
      <c r="C93" s="6" t="s">
        <v>300</v>
      </c>
      <c r="D93" s="6" t="s">
        <v>28</v>
      </c>
      <c r="E93" s="6" t="s">
        <v>29</v>
      </c>
      <c r="F93" s="6" t="s">
        <v>130</v>
      </c>
      <c r="G93" s="10">
        <v>0</v>
      </c>
      <c r="H93" s="10">
        <v>34.497033333333327</v>
      </c>
      <c r="I93" s="10">
        <v>3.6833333333333331</v>
      </c>
      <c r="J93" s="10">
        <v>5.2666666666666666</v>
      </c>
      <c r="K93" s="10">
        <v>54.2</v>
      </c>
      <c r="L93" s="10">
        <v>34.928283333333333</v>
      </c>
      <c r="M93" s="10">
        <v>90.466666666666669</v>
      </c>
    </row>
    <row r="94" spans="1:13" x14ac:dyDescent="0.25">
      <c r="A94" s="8">
        <v>15</v>
      </c>
      <c r="B94" s="8" t="s">
        <v>150</v>
      </c>
      <c r="C94" s="8" t="s">
        <v>301</v>
      </c>
      <c r="D94" s="8" t="s">
        <v>28</v>
      </c>
      <c r="E94" s="8" t="s">
        <v>29</v>
      </c>
      <c r="F94" s="8" t="s">
        <v>130</v>
      </c>
      <c r="G94" s="11">
        <v>0</v>
      </c>
      <c r="H94" s="11">
        <v>36.983333333333327</v>
      </c>
      <c r="I94" s="11">
        <v>4.5</v>
      </c>
      <c r="J94" s="11">
        <v>1.6166666666666669</v>
      </c>
      <c r="K94" s="11">
        <v>42.43333333333333</v>
      </c>
      <c r="L94" s="11">
        <v>34.950000000000003</v>
      </c>
      <c r="M94" s="11">
        <v>121.1324333333333</v>
      </c>
    </row>
    <row r="95" spans="1:13" x14ac:dyDescent="0.25">
      <c r="A95" s="6">
        <v>16</v>
      </c>
      <c r="B95" s="6" t="s">
        <v>153</v>
      </c>
      <c r="C95" s="6" t="s">
        <v>300</v>
      </c>
      <c r="D95" s="6" t="s">
        <v>28</v>
      </c>
      <c r="E95" s="6" t="s">
        <v>29</v>
      </c>
      <c r="F95" s="6" t="s">
        <v>130</v>
      </c>
      <c r="G95" s="10">
        <v>0</v>
      </c>
      <c r="H95" s="10">
        <v>43.485533333333343</v>
      </c>
      <c r="I95" s="10">
        <v>9.5500000000000007</v>
      </c>
      <c r="J95" s="10">
        <v>6.7833333333333332</v>
      </c>
      <c r="K95" s="10">
        <v>55.4</v>
      </c>
      <c r="L95" s="10">
        <v>40.216666666666669</v>
      </c>
      <c r="M95" s="10">
        <v>120.6666666666667</v>
      </c>
    </row>
    <row r="96" spans="1:13" x14ac:dyDescent="0.25">
      <c r="A96" s="8">
        <v>16</v>
      </c>
      <c r="B96" s="8" t="s">
        <v>153</v>
      </c>
      <c r="C96" s="8" t="s">
        <v>301</v>
      </c>
      <c r="D96" s="8" t="s">
        <v>28</v>
      </c>
      <c r="E96" s="8" t="s">
        <v>29</v>
      </c>
      <c r="F96" s="8" t="s">
        <v>130</v>
      </c>
      <c r="G96" s="11">
        <v>0</v>
      </c>
      <c r="H96" s="11">
        <v>26.333333333333329</v>
      </c>
      <c r="I96" s="11">
        <v>10.016666666666669</v>
      </c>
      <c r="J96" s="11">
        <v>14.483333333333331</v>
      </c>
      <c r="K96" s="11">
        <v>52.6</v>
      </c>
      <c r="L96" s="11">
        <v>41.9</v>
      </c>
      <c r="M96" s="11">
        <v>146.02638333333331</v>
      </c>
    </row>
    <row r="97" spans="1:13" x14ac:dyDescent="0.25">
      <c r="A97" s="6">
        <v>17</v>
      </c>
      <c r="B97" s="6" t="s">
        <v>158</v>
      </c>
      <c r="C97" s="6" t="s">
        <v>300</v>
      </c>
      <c r="D97" s="6" t="s">
        <v>28</v>
      </c>
      <c r="E97" s="6" t="s">
        <v>29</v>
      </c>
      <c r="F97" s="6" t="s">
        <v>130</v>
      </c>
      <c r="G97" s="10">
        <v>0</v>
      </c>
      <c r="H97" s="10">
        <v>35.1</v>
      </c>
      <c r="I97" s="10">
        <v>12.7</v>
      </c>
      <c r="J97" s="10">
        <v>3.9333333333333331</v>
      </c>
      <c r="K97" s="10">
        <v>68.016666666666666</v>
      </c>
      <c r="L97" s="10">
        <v>51.253116666666664</v>
      </c>
      <c r="M97" s="10">
        <v>71.584483333333338</v>
      </c>
    </row>
    <row r="98" spans="1:13" x14ac:dyDescent="0.25">
      <c r="A98" s="8">
        <v>17</v>
      </c>
      <c r="B98" s="8" t="s">
        <v>158</v>
      </c>
      <c r="C98" s="8" t="s">
        <v>301</v>
      </c>
      <c r="D98" s="8" t="s">
        <v>28</v>
      </c>
      <c r="E98" s="8" t="s">
        <v>29</v>
      </c>
      <c r="F98" s="8" t="s">
        <v>130</v>
      </c>
      <c r="G98" s="11">
        <v>0</v>
      </c>
      <c r="H98" s="11">
        <v>36.983333333333327</v>
      </c>
      <c r="I98" s="11">
        <v>4.5</v>
      </c>
      <c r="J98" s="11">
        <v>1.6166666666666669</v>
      </c>
      <c r="K98" s="11">
        <v>42.43333333333333</v>
      </c>
      <c r="L98" s="11">
        <v>34.950000000000003</v>
      </c>
      <c r="M98" s="11">
        <v>122.04485</v>
      </c>
    </row>
    <row r="99" spans="1:13" x14ac:dyDescent="0.25">
      <c r="A99" s="6">
        <v>18</v>
      </c>
      <c r="B99" s="6" t="s">
        <v>162</v>
      </c>
      <c r="C99" s="6" t="s">
        <v>300</v>
      </c>
      <c r="D99" s="6" t="s">
        <v>28</v>
      </c>
      <c r="E99" s="6" t="s">
        <v>29</v>
      </c>
      <c r="F99" s="6" t="s">
        <v>96</v>
      </c>
      <c r="G99" s="10">
        <v>0</v>
      </c>
      <c r="H99" s="10">
        <v>30.18333333333333</v>
      </c>
      <c r="I99" s="10">
        <v>12.0548</v>
      </c>
      <c r="J99" s="10">
        <v>2.1</v>
      </c>
      <c r="K99" s="10">
        <v>43.833333333333343</v>
      </c>
      <c r="L99" s="10">
        <v>30.25</v>
      </c>
      <c r="M99" s="10">
        <v>87.221950000000007</v>
      </c>
    </row>
    <row r="100" spans="1:13" x14ac:dyDescent="0.25">
      <c r="A100" s="8">
        <v>18</v>
      </c>
      <c r="B100" s="8" t="s">
        <v>162</v>
      </c>
      <c r="C100" s="8" t="s">
        <v>301</v>
      </c>
      <c r="D100" s="8" t="s">
        <v>28</v>
      </c>
      <c r="E100" s="8" t="s">
        <v>29</v>
      </c>
      <c r="F100" s="8" t="s">
        <v>96</v>
      </c>
      <c r="G100" s="11">
        <v>0</v>
      </c>
      <c r="H100" s="11">
        <v>31.8</v>
      </c>
      <c r="I100" s="11">
        <v>0</v>
      </c>
      <c r="J100" s="11">
        <v>1.5</v>
      </c>
      <c r="K100" s="11">
        <v>30.466666666666669</v>
      </c>
      <c r="L100" s="11">
        <v>23</v>
      </c>
      <c r="M100" s="11">
        <v>134.3833333333333</v>
      </c>
    </row>
    <row r="101" spans="1:13" x14ac:dyDescent="0.25">
      <c r="A101" s="6">
        <v>19</v>
      </c>
      <c r="B101" s="6" t="s">
        <v>165</v>
      </c>
      <c r="C101" s="6" t="s">
        <v>300</v>
      </c>
      <c r="D101" s="6" t="s">
        <v>28</v>
      </c>
      <c r="E101" s="6" t="s">
        <v>29</v>
      </c>
      <c r="F101" s="6" t="s">
        <v>96</v>
      </c>
      <c r="G101" s="10">
        <v>0</v>
      </c>
      <c r="H101" s="10">
        <v>30.18333333333333</v>
      </c>
      <c r="I101" s="10">
        <v>13.90325</v>
      </c>
      <c r="J101" s="10">
        <v>4.2333333333333334</v>
      </c>
      <c r="K101" s="10">
        <v>46.35</v>
      </c>
      <c r="L101" s="10">
        <v>31.983333333333331</v>
      </c>
      <c r="M101" s="10">
        <v>93.283333333333331</v>
      </c>
    </row>
    <row r="102" spans="1:13" x14ac:dyDescent="0.25">
      <c r="A102" s="8">
        <v>19</v>
      </c>
      <c r="B102" s="8" t="s">
        <v>165</v>
      </c>
      <c r="C102" s="8" t="s">
        <v>301</v>
      </c>
      <c r="D102" s="8" t="s">
        <v>28</v>
      </c>
      <c r="E102" s="8" t="s">
        <v>29</v>
      </c>
      <c r="F102" s="8" t="s">
        <v>96</v>
      </c>
      <c r="G102" s="11">
        <v>0</v>
      </c>
      <c r="H102" s="11">
        <v>71.083333333333329</v>
      </c>
      <c r="I102" s="11">
        <v>4.05</v>
      </c>
      <c r="J102" s="11">
        <v>11.6</v>
      </c>
      <c r="K102" s="11">
        <v>38.68333333333333</v>
      </c>
      <c r="L102" s="11">
        <v>26.81666666666667</v>
      </c>
      <c r="M102" s="11">
        <v>116.98333333333331</v>
      </c>
    </row>
    <row r="103" spans="1:13" x14ac:dyDescent="0.25">
      <c r="A103" s="6">
        <v>20</v>
      </c>
      <c r="B103" s="6" t="s">
        <v>168</v>
      </c>
      <c r="C103" s="6" t="s">
        <v>300</v>
      </c>
      <c r="D103" s="6" t="s">
        <v>28</v>
      </c>
      <c r="E103" s="6" t="s">
        <v>29</v>
      </c>
      <c r="F103" s="6" t="s">
        <v>96</v>
      </c>
      <c r="G103" s="10">
        <v>0</v>
      </c>
      <c r="H103" s="10">
        <v>8.9333333333333336</v>
      </c>
      <c r="I103" s="10">
        <v>4.7779333333333334</v>
      </c>
      <c r="J103" s="10">
        <v>0</v>
      </c>
      <c r="K103" s="10">
        <v>45.070950000000003</v>
      </c>
      <c r="L103" s="10">
        <v>34.966666666666669</v>
      </c>
      <c r="M103" s="10">
        <v>92.36666666666666</v>
      </c>
    </row>
    <row r="104" spans="1:13" x14ac:dyDescent="0.25">
      <c r="A104" s="8">
        <v>20</v>
      </c>
      <c r="B104" s="8" t="s">
        <v>168</v>
      </c>
      <c r="C104" s="8" t="s">
        <v>301</v>
      </c>
      <c r="D104" s="8" t="s">
        <v>28</v>
      </c>
      <c r="E104" s="8" t="s">
        <v>29</v>
      </c>
      <c r="F104" s="8" t="s">
        <v>96</v>
      </c>
      <c r="G104" s="11">
        <v>0</v>
      </c>
      <c r="H104" s="11">
        <v>31.8</v>
      </c>
      <c r="I104" s="11">
        <v>0</v>
      </c>
      <c r="J104" s="11">
        <v>1.5</v>
      </c>
      <c r="K104" s="11">
        <v>30.466666666666669</v>
      </c>
      <c r="L104" s="11">
        <v>23</v>
      </c>
      <c r="M104" s="11">
        <v>134.3833333333333</v>
      </c>
    </row>
    <row r="105" spans="1:13" x14ac:dyDescent="0.25">
      <c r="A105" s="6">
        <v>21</v>
      </c>
      <c r="B105" s="6" t="s">
        <v>171</v>
      </c>
      <c r="C105" s="6" t="s">
        <v>300</v>
      </c>
      <c r="D105" s="6" t="s">
        <v>28</v>
      </c>
      <c r="E105" s="6" t="s">
        <v>29</v>
      </c>
      <c r="F105" s="6" t="s">
        <v>96</v>
      </c>
      <c r="G105" s="10">
        <v>0</v>
      </c>
      <c r="H105" s="10">
        <v>30.18333333333333</v>
      </c>
      <c r="I105" s="10">
        <v>15.93333333333333</v>
      </c>
      <c r="J105" s="10">
        <v>2.1</v>
      </c>
      <c r="K105" s="10">
        <v>50.65</v>
      </c>
      <c r="L105" s="10">
        <v>37.059549999999987</v>
      </c>
      <c r="M105" s="10">
        <v>99.805283333333335</v>
      </c>
    </row>
    <row r="106" spans="1:13" x14ac:dyDescent="0.25">
      <c r="A106" s="8">
        <v>21</v>
      </c>
      <c r="B106" s="8" t="s">
        <v>171</v>
      </c>
      <c r="C106" s="8" t="s">
        <v>301</v>
      </c>
      <c r="D106" s="8" t="s">
        <v>28</v>
      </c>
      <c r="E106" s="8" t="s">
        <v>29</v>
      </c>
      <c r="F106" s="8" t="s">
        <v>96</v>
      </c>
      <c r="G106" s="11">
        <v>0</v>
      </c>
      <c r="H106" s="11">
        <v>48.18333333333333</v>
      </c>
      <c r="I106" s="11">
        <v>17.666666666666671</v>
      </c>
      <c r="J106" s="11">
        <v>9.9</v>
      </c>
      <c r="K106" s="11">
        <v>51.033333333333331</v>
      </c>
      <c r="L106" s="11">
        <v>37.133333333333333</v>
      </c>
      <c r="M106" s="11">
        <v>121.65</v>
      </c>
    </row>
    <row r="107" spans="1:13" x14ac:dyDescent="0.25">
      <c r="A107" s="6">
        <v>22</v>
      </c>
      <c r="B107" s="6" t="s">
        <v>173</v>
      </c>
      <c r="C107" s="6" t="s">
        <v>300</v>
      </c>
      <c r="D107" s="6" t="s">
        <v>28</v>
      </c>
      <c r="E107" s="6" t="s">
        <v>29</v>
      </c>
      <c r="F107" s="6" t="s">
        <v>96</v>
      </c>
      <c r="G107" s="10">
        <v>0</v>
      </c>
      <c r="H107" s="10">
        <v>30.466666666666669</v>
      </c>
      <c r="I107" s="10">
        <v>18.984083333333331</v>
      </c>
      <c r="J107" s="10">
        <v>2.2999999999999998</v>
      </c>
      <c r="K107" s="10">
        <v>58.605016666666657</v>
      </c>
      <c r="L107" s="10">
        <v>41.15</v>
      </c>
      <c r="M107" s="10">
        <v>69.61666666666666</v>
      </c>
    </row>
    <row r="108" spans="1:13" x14ac:dyDescent="0.25">
      <c r="A108" s="8">
        <v>22</v>
      </c>
      <c r="B108" s="8" t="s">
        <v>173</v>
      </c>
      <c r="C108" s="8" t="s">
        <v>301</v>
      </c>
      <c r="D108" s="8" t="s">
        <v>28</v>
      </c>
      <c r="E108" s="8" t="s">
        <v>29</v>
      </c>
      <c r="F108" s="8" t="s">
        <v>96</v>
      </c>
      <c r="G108" s="11">
        <v>0</v>
      </c>
      <c r="H108" s="11">
        <v>31.8</v>
      </c>
      <c r="I108" s="11">
        <v>0</v>
      </c>
      <c r="J108" s="11">
        <v>1.5</v>
      </c>
      <c r="K108" s="11">
        <v>30.466666666666669</v>
      </c>
      <c r="L108" s="11">
        <v>23</v>
      </c>
      <c r="M108" s="11">
        <v>134.3833333333333</v>
      </c>
    </row>
    <row r="109" spans="1:13" x14ac:dyDescent="0.25">
      <c r="A109" s="6">
        <v>23</v>
      </c>
      <c r="B109" s="6" t="s">
        <v>176</v>
      </c>
      <c r="C109" s="6" t="s">
        <v>300</v>
      </c>
      <c r="D109" s="6" t="s">
        <v>28</v>
      </c>
      <c r="E109" s="6" t="s">
        <v>29</v>
      </c>
      <c r="F109" s="6" t="s">
        <v>130</v>
      </c>
      <c r="G109" s="10">
        <v>0</v>
      </c>
      <c r="H109" s="10">
        <v>24.65</v>
      </c>
      <c r="I109" s="10">
        <v>10.13448333333333</v>
      </c>
      <c r="J109" s="10">
        <v>2.1</v>
      </c>
      <c r="K109" s="10">
        <v>53.916666666666657</v>
      </c>
      <c r="L109" s="10">
        <v>40.75</v>
      </c>
      <c r="M109" s="10">
        <v>91.5</v>
      </c>
    </row>
    <row r="110" spans="1:13" x14ac:dyDescent="0.25">
      <c r="A110" s="8">
        <v>23</v>
      </c>
      <c r="B110" s="8" t="s">
        <v>176</v>
      </c>
      <c r="C110" s="8" t="s">
        <v>301</v>
      </c>
      <c r="D110" s="8" t="s">
        <v>28</v>
      </c>
      <c r="E110" s="8" t="s">
        <v>29</v>
      </c>
      <c r="F110" s="8" t="s">
        <v>130</v>
      </c>
      <c r="G110" s="11">
        <v>0</v>
      </c>
      <c r="H110" s="11">
        <v>23.716666666666669</v>
      </c>
      <c r="I110" s="11">
        <v>4.4333333333333336</v>
      </c>
      <c r="J110" s="11">
        <v>9.5500000000000007</v>
      </c>
      <c r="K110" s="11">
        <v>50.65</v>
      </c>
      <c r="L110" s="11">
        <v>34.233333333333327</v>
      </c>
      <c r="M110" s="11">
        <v>109.3</v>
      </c>
    </row>
    <row r="111" spans="1:13" x14ac:dyDescent="0.25">
      <c r="A111" s="6">
        <v>24</v>
      </c>
      <c r="B111" s="6" t="s">
        <v>178</v>
      </c>
      <c r="C111" s="6" t="s">
        <v>300</v>
      </c>
      <c r="D111" s="6" t="s">
        <v>28</v>
      </c>
      <c r="E111" s="6" t="s">
        <v>29</v>
      </c>
      <c r="F111" s="6" t="s">
        <v>130</v>
      </c>
      <c r="G111" s="10">
        <v>0</v>
      </c>
      <c r="H111" s="10">
        <v>26.583333333333329</v>
      </c>
      <c r="I111" s="10">
        <v>1.261883333333333</v>
      </c>
      <c r="J111" s="10">
        <v>5.35</v>
      </c>
      <c r="K111" s="10">
        <v>50.083333333333343</v>
      </c>
      <c r="L111" s="10">
        <v>38.023983333333327</v>
      </c>
      <c r="M111" s="10">
        <v>85.833333333333329</v>
      </c>
    </row>
    <row r="112" spans="1:13" x14ac:dyDescent="0.25">
      <c r="A112" s="8">
        <v>24</v>
      </c>
      <c r="B112" s="8" t="s">
        <v>178</v>
      </c>
      <c r="C112" s="8" t="s">
        <v>301</v>
      </c>
      <c r="D112" s="8" t="s">
        <v>28</v>
      </c>
      <c r="E112" s="8" t="s">
        <v>29</v>
      </c>
      <c r="F112" s="8" t="s">
        <v>130</v>
      </c>
      <c r="G112" s="11">
        <v>0</v>
      </c>
      <c r="H112" s="11">
        <v>21.383333333333329</v>
      </c>
      <c r="I112" s="11">
        <v>1</v>
      </c>
      <c r="J112" s="11">
        <v>0</v>
      </c>
      <c r="K112" s="11">
        <v>39.18333333333333</v>
      </c>
      <c r="L112" s="11">
        <v>30.466666666666669</v>
      </c>
      <c r="M112" s="11">
        <v>102.4992666666667</v>
      </c>
    </row>
    <row r="113" spans="1:13" x14ac:dyDescent="0.25">
      <c r="A113" s="6">
        <v>25</v>
      </c>
      <c r="B113" s="6" t="s">
        <v>181</v>
      </c>
      <c r="C113" s="6" t="s">
        <v>300</v>
      </c>
      <c r="D113" s="6" t="s">
        <v>28</v>
      </c>
      <c r="E113" s="6" t="s">
        <v>29</v>
      </c>
      <c r="F113" s="6" t="s">
        <v>130</v>
      </c>
      <c r="G113" s="10">
        <v>0</v>
      </c>
      <c r="H113" s="10">
        <v>23.847033333333339</v>
      </c>
      <c r="I113" s="10">
        <v>3.6833333333333331</v>
      </c>
      <c r="J113" s="10">
        <v>0.25</v>
      </c>
      <c r="K113" s="10">
        <v>50.55</v>
      </c>
      <c r="L113" s="10">
        <v>32.700000000000003</v>
      </c>
      <c r="M113" s="10">
        <v>78.960683333333321</v>
      </c>
    </row>
    <row r="114" spans="1:13" x14ac:dyDescent="0.25">
      <c r="A114" s="8">
        <v>25</v>
      </c>
      <c r="B114" s="8" t="s">
        <v>181</v>
      </c>
      <c r="C114" s="8" t="s">
        <v>301</v>
      </c>
      <c r="D114" s="8" t="s">
        <v>28</v>
      </c>
      <c r="E114" s="8" t="s">
        <v>29</v>
      </c>
      <c r="F114" s="8" t="s">
        <v>130</v>
      </c>
      <c r="G114" s="11">
        <v>0</v>
      </c>
      <c r="H114" s="11">
        <v>23.716666666666669</v>
      </c>
      <c r="I114" s="11">
        <v>4.4333333333333336</v>
      </c>
      <c r="J114" s="11">
        <v>9.5500000000000007</v>
      </c>
      <c r="K114" s="11">
        <v>50.65</v>
      </c>
      <c r="L114" s="11">
        <v>34.233333333333327</v>
      </c>
      <c r="M114" s="11">
        <v>109.3</v>
      </c>
    </row>
    <row r="115" spans="1:13" x14ac:dyDescent="0.25">
      <c r="A115" s="6">
        <v>26</v>
      </c>
      <c r="B115" s="6" t="s">
        <v>183</v>
      </c>
      <c r="C115" s="6" t="s">
        <v>300</v>
      </c>
      <c r="D115" s="6" t="s">
        <v>28</v>
      </c>
      <c r="E115" s="6" t="s">
        <v>29</v>
      </c>
      <c r="F115" s="6" t="s">
        <v>130</v>
      </c>
      <c r="G115" s="10">
        <v>0</v>
      </c>
      <c r="H115" s="10">
        <v>32.85</v>
      </c>
      <c r="I115" s="10">
        <v>9.8868999999999989</v>
      </c>
      <c r="J115" s="10">
        <v>7.9333333333333336</v>
      </c>
      <c r="K115" s="10">
        <v>61.06666666666667</v>
      </c>
      <c r="L115" s="10">
        <v>46.8</v>
      </c>
      <c r="M115" s="10">
        <v>122.55</v>
      </c>
    </row>
    <row r="116" spans="1:13" x14ac:dyDescent="0.25">
      <c r="A116" s="8">
        <v>26</v>
      </c>
      <c r="B116" s="8" t="s">
        <v>183</v>
      </c>
      <c r="C116" s="8" t="s">
        <v>301</v>
      </c>
      <c r="D116" s="8" t="s">
        <v>28</v>
      </c>
      <c r="E116" s="8" t="s">
        <v>29</v>
      </c>
      <c r="F116" s="8" t="s">
        <v>130</v>
      </c>
      <c r="G116" s="11">
        <v>0</v>
      </c>
      <c r="H116" s="11">
        <v>26.333333333333329</v>
      </c>
      <c r="I116" s="11">
        <v>10.016666666666669</v>
      </c>
      <c r="J116" s="11">
        <v>14.483333333333331</v>
      </c>
      <c r="K116" s="11">
        <v>52.6</v>
      </c>
      <c r="L116" s="11">
        <v>42.233333333333327</v>
      </c>
      <c r="M116" s="11">
        <v>146.08333333333329</v>
      </c>
    </row>
    <row r="117" spans="1:13" x14ac:dyDescent="0.25">
      <c r="A117" s="6">
        <v>27</v>
      </c>
      <c r="B117" s="6" t="s">
        <v>186</v>
      </c>
      <c r="C117" s="6" t="s">
        <v>300</v>
      </c>
      <c r="D117" s="6" t="s">
        <v>28</v>
      </c>
      <c r="E117" s="6" t="s">
        <v>29</v>
      </c>
      <c r="F117" s="6" t="s">
        <v>130</v>
      </c>
      <c r="G117" s="10">
        <v>0</v>
      </c>
      <c r="H117" s="10">
        <v>31.033333333333331</v>
      </c>
      <c r="I117" s="10">
        <v>10.96666666666667</v>
      </c>
      <c r="J117" s="10">
        <v>2.9333333333333331</v>
      </c>
      <c r="K117" s="10">
        <v>62.68333333333333</v>
      </c>
      <c r="L117" s="10">
        <v>46.940983333333328</v>
      </c>
      <c r="M117" s="10">
        <v>65.351150000000004</v>
      </c>
    </row>
    <row r="118" spans="1:13" x14ac:dyDescent="0.25">
      <c r="A118" s="8">
        <v>27</v>
      </c>
      <c r="B118" s="8" t="s">
        <v>186</v>
      </c>
      <c r="C118" s="8" t="s">
        <v>301</v>
      </c>
      <c r="D118" s="8" t="s">
        <v>28</v>
      </c>
      <c r="E118" s="8" t="s">
        <v>29</v>
      </c>
      <c r="F118" s="8" t="s">
        <v>130</v>
      </c>
      <c r="G118" s="11">
        <v>0</v>
      </c>
      <c r="H118" s="11">
        <v>23.716666666666669</v>
      </c>
      <c r="I118" s="11">
        <v>4.4333333333333336</v>
      </c>
      <c r="J118" s="11">
        <v>9.5500000000000007</v>
      </c>
      <c r="K118" s="11">
        <v>50.65</v>
      </c>
      <c r="L118" s="11">
        <v>34.233333333333327</v>
      </c>
      <c r="M118" s="11">
        <v>109.3</v>
      </c>
    </row>
    <row r="119" spans="1:13" x14ac:dyDescent="0.25">
      <c r="A119" s="6">
        <v>28</v>
      </c>
      <c r="B119" s="6" t="s">
        <v>188</v>
      </c>
      <c r="C119" s="6" t="s">
        <v>300</v>
      </c>
      <c r="D119" s="6" t="s">
        <v>28</v>
      </c>
      <c r="E119" s="6" t="s">
        <v>29</v>
      </c>
      <c r="F119" s="6" t="s">
        <v>96</v>
      </c>
      <c r="G119" s="10">
        <v>0</v>
      </c>
      <c r="H119" s="10">
        <v>8.9333333333333336</v>
      </c>
      <c r="I119" s="10">
        <v>5.4188666666666672</v>
      </c>
      <c r="J119" s="10">
        <v>0</v>
      </c>
      <c r="K119" s="10">
        <v>46.883333333333333</v>
      </c>
      <c r="L119" s="10">
        <v>35.666666666666657</v>
      </c>
      <c r="M119" s="10">
        <v>98.5</v>
      </c>
    </row>
    <row r="120" spans="1:13" x14ac:dyDescent="0.25">
      <c r="A120" s="8">
        <v>28</v>
      </c>
      <c r="B120" s="8" t="s">
        <v>188</v>
      </c>
      <c r="C120" s="8" t="s">
        <v>301</v>
      </c>
      <c r="D120" s="8" t="s">
        <v>28</v>
      </c>
      <c r="E120" s="8" t="s">
        <v>29</v>
      </c>
      <c r="F120" s="8" t="s">
        <v>96</v>
      </c>
      <c r="G120" s="11">
        <v>0</v>
      </c>
      <c r="H120" s="11">
        <v>71.083333333333329</v>
      </c>
      <c r="I120" s="11">
        <v>4.05</v>
      </c>
      <c r="J120" s="11">
        <v>9.2465500000000009</v>
      </c>
      <c r="K120" s="11">
        <v>38.68333333333333</v>
      </c>
      <c r="L120" s="11">
        <v>26.81666666666667</v>
      </c>
      <c r="M120" s="11">
        <v>116.98333333333331</v>
      </c>
    </row>
    <row r="121" spans="1:13" x14ac:dyDescent="0.25">
      <c r="A121" s="6">
        <v>29</v>
      </c>
      <c r="B121" s="6" t="s">
        <v>192</v>
      </c>
      <c r="C121" s="6" t="s">
        <v>300</v>
      </c>
      <c r="D121" s="6" t="s">
        <v>28</v>
      </c>
      <c r="E121" s="6" t="s">
        <v>29</v>
      </c>
      <c r="F121" s="6" t="s">
        <v>96</v>
      </c>
      <c r="G121" s="10">
        <v>0</v>
      </c>
      <c r="H121" s="10">
        <v>12.03333333333333</v>
      </c>
      <c r="I121" s="10">
        <v>4.916666666666667</v>
      </c>
      <c r="J121" s="10">
        <v>0</v>
      </c>
      <c r="K121" s="10">
        <v>47.070950000000003</v>
      </c>
      <c r="L121" s="10">
        <v>35.883333333333333</v>
      </c>
      <c r="M121" s="10">
        <v>102.55</v>
      </c>
    </row>
    <row r="122" spans="1:13" x14ac:dyDescent="0.25">
      <c r="A122" s="8">
        <v>29</v>
      </c>
      <c r="B122" s="8" t="s">
        <v>192</v>
      </c>
      <c r="C122" s="8" t="s">
        <v>301</v>
      </c>
      <c r="D122" s="8" t="s">
        <v>28</v>
      </c>
      <c r="E122" s="8" t="s">
        <v>29</v>
      </c>
      <c r="F122" s="8" t="s">
        <v>96</v>
      </c>
      <c r="G122" s="11">
        <v>0</v>
      </c>
      <c r="H122" s="11">
        <v>48.18333333333333</v>
      </c>
      <c r="I122" s="11">
        <v>13.66666666666667</v>
      </c>
      <c r="J122" s="11">
        <v>8.5500000000000007</v>
      </c>
      <c r="K122" s="11">
        <v>47.504249999999999</v>
      </c>
      <c r="L122" s="11">
        <v>34.783333333333331</v>
      </c>
      <c r="M122" s="11">
        <v>114.05</v>
      </c>
    </row>
    <row r="123" spans="1:13" x14ac:dyDescent="0.25">
      <c r="A123" s="6">
        <v>30</v>
      </c>
      <c r="B123" s="6" t="s">
        <v>194</v>
      </c>
      <c r="C123" s="6" t="s">
        <v>300</v>
      </c>
      <c r="D123" s="6" t="s">
        <v>28</v>
      </c>
      <c r="E123" s="6" t="s">
        <v>29</v>
      </c>
      <c r="F123" s="6" t="s">
        <v>96</v>
      </c>
      <c r="G123" s="10">
        <v>0</v>
      </c>
      <c r="H123" s="10">
        <v>45.166666666666657</v>
      </c>
      <c r="I123" s="10">
        <v>26.670683333333329</v>
      </c>
      <c r="J123" s="10">
        <v>2.8833333333333329</v>
      </c>
      <c r="K123" s="10">
        <v>61.423199999999987</v>
      </c>
      <c r="L123" s="10">
        <v>44.016666666666673</v>
      </c>
      <c r="M123" s="10">
        <v>75.583333333333329</v>
      </c>
    </row>
    <row r="124" spans="1:13" x14ac:dyDescent="0.25">
      <c r="A124" s="8">
        <v>30</v>
      </c>
      <c r="B124" s="8" t="s">
        <v>194</v>
      </c>
      <c r="C124" s="8" t="s">
        <v>301</v>
      </c>
      <c r="D124" s="8" t="s">
        <v>28</v>
      </c>
      <c r="E124" s="8" t="s">
        <v>29</v>
      </c>
      <c r="F124" s="8" t="s">
        <v>96</v>
      </c>
      <c r="G124" s="11">
        <v>0</v>
      </c>
      <c r="H124" s="11">
        <v>71.083333333333329</v>
      </c>
      <c r="I124" s="11">
        <v>4.05</v>
      </c>
      <c r="J124" s="11">
        <v>7.6833333333333336</v>
      </c>
      <c r="K124" s="11">
        <v>38.68333333333333</v>
      </c>
      <c r="L124" s="11">
        <v>26.81666666666667</v>
      </c>
      <c r="M124" s="11">
        <v>117.31331666666669</v>
      </c>
    </row>
    <row r="125" spans="1:13" x14ac:dyDescent="0.25">
      <c r="A125" s="6">
        <v>31</v>
      </c>
      <c r="B125" s="6" t="s">
        <v>198</v>
      </c>
      <c r="C125" s="6" t="s">
        <v>300</v>
      </c>
      <c r="D125" s="6" t="s">
        <v>28</v>
      </c>
      <c r="E125" s="6" t="s">
        <v>29</v>
      </c>
      <c r="F125" s="6" t="s">
        <v>130</v>
      </c>
      <c r="G125" s="10">
        <v>0</v>
      </c>
      <c r="H125" s="10">
        <v>29.483333333333331</v>
      </c>
      <c r="I125" s="10">
        <v>0.1105833333333333</v>
      </c>
      <c r="J125" s="10">
        <v>5.2666666666666666</v>
      </c>
      <c r="K125" s="10">
        <v>45.483333333333327</v>
      </c>
      <c r="L125" s="10">
        <v>28.733333333333331</v>
      </c>
      <c r="M125" s="10">
        <v>78.575700000000012</v>
      </c>
    </row>
    <row r="126" spans="1:13" x14ac:dyDescent="0.25">
      <c r="A126" s="8">
        <v>31</v>
      </c>
      <c r="B126" s="8" t="s">
        <v>198</v>
      </c>
      <c r="C126" s="8" t="s">
        <v>301</v>
      </c>
      <c r="D126" s="8" t="s">
        <v>28</v>
      </c>
      <c r="E126" s="8" t="s">
        <v>29</v>
      </c>
      <c r="F126" s="8" t="s">
        <v>130</v>
      </c>
      <c r="G126" s="11">
        <v>0</v>
      </c>
      <c r="H126" s="11">
        <v>21.383333333333329</v>
      </c>
      <c r="I126" s="11">
        <v>1</v>
      </c>
      <c r="J126" s="11">
        <v>0</v>
      </c>
      <c r="K126" s="11">
        <v>39.18333333333333</v>
      </c>
      <c r="L126" s="11">
        <v>30.466666666666669</v>
      </c>
      <c r="M126" s="11">
        <v>102.92506666666669</v>
      </c>
    </row>
    <row r="127" spans="1:13" x14ac:dyDescent="0.25">
      <c r="A127" s="6">
        <v>32</v>
      </c>
      <c r="B127" s="6" t="s">
        <v>201</v>
      </c>
      <c r="C127" s="6" t="s">
        <v>300</v>
      </c>
      <c r="D127" s="6" t="s">
        <v>28</v>
      </c>
      <c r="E127" s="6" t="s">
        <v>35</v>
      </c>
      <c r="F127" s="6" t="s">
        <v>76</v>
      </c>
      <c r="G127" s="10">
        <v>23.4</v>
      </c>
      <c r="H127" s="10">
        <v>37.616666666666667</v>
      </c>
      <c r="I127" s="10">
        <v>0</v>
      </c>
      <c r="J127" s="10">
        <v>0.58333333333333337</v>
      </c>
      <c r="K127" s="10">
        <v>58.389133333333326</v>
      </c>
      <c r="L127" s="10">
        <v>47.783333333333331</v>
      </c>
      <c r="M127" s="10">
        <v>188.35</v>
      </c>
    </row>
    <row r="128" spans="1:13" x14ac:dyDescent="0.25">
      <c r="A128" s="8">
        <v>32</v>
      </c>
      <c r="B128" s="8" t="s">
        <v>201</v>
      </c>
      <c r="C128" s="8" t="s">
        <v>301</v>
      </c>
      <c r="D128" s="8" t="s">
        <v>28</v>
      </c>
      <c r="E128" s="8" t="s">
        <v>35</v>
      </c>
      <c r="F128" s="8" t="s">
        <v>76</v>
      </c>
      <c r="G128" s="11">
        <v>0</v>
      </c>
      <c r="H128" s="11">
        <v>18.100000000000001</v>
      </c>
      <c r="I128" s="11">
        <v>6.6666666666666666E-2</v>
      </c>
      <c r="J128" s="11">
        <v>1.75</v>
      </c>
      <c r="K128" s="11">
        <v>61.95</v>
      </c>
      <c r="L128" s="11">
        <v>44.95</v>
      </c>
      <c r="M128" s="11">
        <v>206.6166666666667</v>
      </c>
    </row>
    <row r="129" spans="1:13" x14ac:dyDescent="0.25">
      <c r="A129" s="6">
        <v>33</v>
      </c>
      <c r="B129" s="6" t="s">
        <v>205</v>
      </c>
      <c r="C129" s="6" t="s">
        <v>300</v>
      </c>
      <c r="D129" s="6" t="s">
        <v>28</v>
      </c>
      <c r="E129" s="6" t="s">
        <v>35</v>
      </c>
      <c r="F129" s="6" t="s">
        <v>76</v>
      </c>
      <c r="G129" s="10">
        <v>23.4</v>
      </c>
      <c r="H129" s="10">
        <v>37.616666666666667</v>
      </c>
      <c r="I129" s="10">
        <v>0</v>
      </c>
      <c r="J129" s="10">
        <v>0.58333333333333337</v>
      </c>
      <c r="K129" s="10">
        <v>56.670316666666658</v>
      </c>
      <c r="L129" s="10">
        <v>46.800916666666673</v>
      </c>
      <c r="M129" s="10">
        <v>184.98333333333329</v>
      </c>
    </row>
    <row r="130" spans="1:13" x14ac:dyDescent="0.25">
      <c r="A130" s="8">
        <v>33</v>
      </c>
      <c r="B130" s="8" t="s">
        <v>205</v>
      </c>
      <c r="C130" s="8" t="s">
        <v>301</v>
      </c>
      <c r="D130" s="8" t="s">
        <v>28</v>
      </c>
      <c r="E130" s="8" t="s">
        <v>35</v>
      </c>
      <c r="F130" s="8" t="s">
        <v>76</v>
      </c>
      <c r="G130" s="11">
        <v>0</v>
      </c>
      <c r="H130" s="11">
        <v>16.43333333333333</v>
      </c>
      <c r="I130" s="11">
        <v>8.7333333333333325</v>
      </c>
      <c r="J130" s="11">
        <v>5.083333333333333</v>
      </c>
      <c r="K130" s="11">
        <v>63.81666666666667</v>
      </c>
      <c r="L130" s="11">
        <v>46.866666666666667</v>
      </c>
      <c r="M130" s="11">
        <v>176.3828666666667</v>
      </c>
    </row>
    <row r="131" spans="1:13" x14ac:dyDescent="0.25">
      <c r="A131" s="6">
        <v>34</v>
      </c>
      <c r="B131" s="6" t="s">
        <v>210</v>
      </c>
      <c r="C131" s="6" t="s">
        <v>300</v>
      </c>
      <c r="D131" s="6" t="s">
        <v>28</v>
      </c>
      <c r="E131" s="6" t="s">
        <v>29</v>
      </c>
      <c r="F131" s="6" t="s">
        <v>130</v>
      </c>
      <c r="G131" s="10">
        <v>0</v>
      </c>
      <c r="H131" s="10">
        <v>34.497033333333327</v>
      </c>
      <c r="I131" s="10">
        <v>3.6833333333333331</v>
      </c>
      <c r="J131" s="10">
        <v>7.35</v>
      </c>
      <c r="K131" s="10">
        <v>57.55</v>
      </c>
      <c r="L131" s="10">
        <v>37.366666666666667</v>
      </c>
      <c r="M131" s="10">
        <v>112.4</v>
      </c>
    </row>
    <row r="132" spans="1:13" x14ac:dyDescent="0.25">
      <c r="A132" s="8">
        <v>34</v>
      </c>
      <c r="B132" s="8" t="s">
        <v>210</v>
      </c>
      <c r="C132" s="8" t="s">
        <v>301</v>
      </c>
      <c r="D132" s="8" t="s">
        <v>28</v>
      </c>
      <c r="E132" s="8" t="s">
        <v>29</v>
      </c>
      <c r="F132" s="8" t="s">
        <v>130</v>
      </c>
      <c r="G132" s="11">
        <v>0</v>
      </c>
      <c r="H132" s="11">
        <v>26.333333333333329</v>
      </c>
      <c r="I132" s="11">
        <v>10.016666666666669</v>
      </c>
      <c r="J132" s="11">
        <v>14.483333333333331</v>
      </c>
      <c r="K132" s="11">
        <v>52.6</v>
      </c>
      <c r="L132" s="11">
        <v>42.233333333333327</v>
      </c>
      <c r="M132" s="11">
        <v>146.08333333333329</v>
      </c>
    </row>
    <row r="133" spans="1:13" x14ac:dyDescent="0.25">
      <c r="A133" s="6">
        <v>35</v>
      </c>
      <c r="B133" s="6" t="s">
        <v>212</v>
      </c>
      <c r="C133" s="6" t="s">
        <v>300</v>
      </c>
      <c r="D133" s="6" t="s">
        <v>28</v>
      </c>
      <c r="E133" s="6" t="s">
        <v>29</v>
      </c>
      <c r="F133" s="6" t="s">
        <v>130</v>
      </c>
      <c r="G133" s="10">
        <v>0</v>
      </c>
      <c r="H133" s="10">
        <v>20.65</v>
      </c>
      <c r="I133" s="10">
        <v>8.668333333333333</v>
      </c>
      <c r="J133" s="10">
        <v>2.9833333333333329</v>
      </c>
      <c r="K133" s="10">
        <v>56.783333333333331</v>
      </c>
      <c r="L133" s="10">
        <v>43.369783333333331</v>
      </c>
      <c r="M133" s="10">
        <v>62.483333333333327</v>
      </c>
    </row>
    <row r="134" spans="1:13" x14ac:dyDescent="0.25">
      <c r="A134" s="8">
        <v>35</v>
      </c>
      <c r="B134" s="8" t="s">
        <v>212</v>
      </c>
      <c r="C134" s="8" t="s">
        <v>301</v>
      </c>
      <c r="D134" s="8" t="s">
        <v>28</v>
      </c>
      <c r="E134" s="8" t="s">
        <v>29</v>
      </c>
      <c r="F134" s="8" t="s">
        <v>130</v>
      </c>
      <c r="G134" s="11">
        <v>0</v>
      </c>
      <c r="H134" s="11">
        <v>21.383333333333329</v>
      </c>
      <c r="I134" s="11">
        <v>1</v>
      </c>
      <c r="J134" s="11">
        <v>0</v>
      </c>
      <c r="K134" s="11">
        <v>39.18333333333333</v>
      </c>
      <c r="L134" s="11">
        <v>30.466666666666669</v>
      </c>
      <c r="M134" s="11">
        <v>102.92506666666669</v>
      </c>
    </row>
    <row r="135" spans="1:13" x14ac:dyDescent="0.25">
      <c r="A135" s="6">
        <v>36</v>
      </c>
      <c r="B135" s="6" t="s">
        <v>214</v>
      </c>
      <c r="C135" s="6" t="s">
        <v>300</v>
      </c>
      <c r="D135" s="6" t="s">
        <v>28</v>
      </c>
      <c r="E135" s="6" t="s">
        <v>35</v>
      </c>
      <c r="F135" s="6" t="s">
        <v>88</v>
      </c>
      <c r="G135" s="10">
        <v>40.299999999999997</v>
      </c>
      <c r="H135" s="10">
        <v>46.846666666666671</v>
      </c>
      <c r="I135" s="10">
        <v>23.25</v>
      </c>
      <c r="J135" s="10">
        <v>14.68333333333333</v>
      </c>
      <c r="K135" s="10">
        <v>52.483333333333327</v>
      </c>
      <c r="L135" s="10">
        <v>45.116666666666667</v>
      </c>
      <c r="M135" s="10">
        <v>254.94114999999999</v>
      </c>
    </row>
    <row r="136" spans="1:13" x14ac:dyDescent="0.25">
      <c r="A136" s="8">
        <v>36</v>
      </c>
      <c r="B136" s="8" t="s">
        <v>214</v>
      </c>
      <c r="C136" s="8" t="s">
        <v>301</v>
      </c>
      <c r="D136" s="8" t="s">
        <v>28</v>
      </c>
      <c r="E136" s="8" t="s">
        <v>35</v>
      </c>
      <c r="F136" s="8" t="s">
        <v>88</v>
      </c>
      <c r="G136" s="11">
        <v>0</v>
      </c>
      <c r="H136" s="11">
        <v>35.983333333333327</v>
      </c>
      <c r="I136" s="11">
        <v>0.35</v>
      </c>
      <c r="J136" s="11">
        <v>4.166666666666667</v>
      </c>
      <c r="K136" s="11">
        <v>65.36666666666666</v>
      </c>
      <c r="L136" s="11">
        <v>52.466666666666669</v>
      </c>
      <c r="M136" s="11">
        <v>209.75</v>
      </c>
    </row>
    <row r="137" spans="1:13" x14ac:dyDescent="0.25">
      <c r="A137" s="6">
        <v>37</v>
      </c>
      <c r="B137" s="6" t="s">
        <v>218</v>
      </c>
      <c r="C137" s="6" t="s">
        <v>300</v>
      </c>
      <c r="D137" s="6" t="s">
        <v>28</v>
      </c>
      <c r="E137" s="6" t="s">
        <v>35</v>
      </c>
      <c r="F137" s="6" t="s">
        <v>76</v>
      </c>
      <c r="G137" s="10">
        <v>20.983333333333331</v>
      </c>
      <c r="H137" s="10">
        <v>3.666666666666667</v>
      </c>
      <c r="I137" s="10">
        <v>3.0333333333333332</v>
      </c>
      <c r="J137" s="10">
        <v>7.2833333333333332</v>
      </c>
      <c r="K137" s="10">
        <v>33.003716666666669</v>
      </c>
      <c r="L137" s="10">
        <v>29.65</v>
      </c>
      <c r="M137" s="10">
        <v>163.76666666666671</v>
      </c>
    </row>
    <row r="138" spans="1:13" x14ac:dyDescent="0.25">
      <c r="A138" s="8">
        <v>37</v>
      </c>
      <c r="B138" s="8" t="s">
        <v>218</v>
      </c>
      <c r="C138" s="8" t="s">
        <v>301</v>
      </c>
      <c r="D138" s="8" t="s">
        <v>28</v>
      </c>
      <c r="E138" s="8" t="s">
        <v>35</v>
      </c>
      <c r="F138" s="8" t="s">
        <v>76</v>
      </c>
      <c r="G138" s="11">
        <v>0</v>
      </c>
      <c r="H138" s="11">
        <v>16.43333333333333</v>
      </c>
      <c r="I138" s="11">
        <v>6.3166666666666664</v>
      </c>
      <c r="J138" s="11">
        <v>5</v>
      </c>
      <c r="K138" s="11">
        <v>46.8</v>
      </c>
      <c r="L138" s="11">
        <v>33.416666666666657</v>
      </c>
      <c r="M138" s="11">
        <v>136.9743</v>
      </c>
    </row>
    <row r="139" spans="1:13" x14ac:dyDescent="0.25">
      <c r="A139" s="6">
        <v>38</v>
      </c>
      <c r="B139" s="6" t="s">
        <v>223</v>
      </c>
      <c r="C139" s="6" t="s">
        <v>300</v>
      </c>
      <c r="D139" s="6" t="s">
        <v>28</v>
      </c>
      <c r="E139" s="6" t="s">
        <v>31</v>
      </c>
      <c r="F139" s="6" t="s">
        <v>31</v>
      </c>
      <c r="G139" s="10">
        <v>50.366666666666667</v>
      </c>
      <c r="H139" s="10">
        <v>8.3666666666666671</v>
      </c>
      <c r="I139" s="10">
        <v>17.350000000000001</v>
      </c>
      <c r="J139" s="10">
        <v>4.75</v>
      </c>
      <c r="K139" s="10">
        <v>75.683333333333337</v>
      </c>
      <c r="L139" s="10">
        <v>57.18333333333333</v>
      </c>
      <c r="M139" s="10">
        <v>181.3</v>
      </c>
    </row>
    <row r="140" spans="1:13" x14ac:dyDescent="0.25">
      <c r="A140" s="8">
        <v>38</v>
      </c>
      <c r="B140" s="8" t="s">
        <v>223</v>
      </c>
      <c r="C140" s="8" t="s">
        <v>301</v>
      </c>
      <c r="D140" s="8" t="s">
        <v>28</v>
      </c>
      <c r="E140" s="8" t="s">
        <v>31</v>
      </c>
      <c r="F140" s="8" t="s">
        <v>31</v>
      </c>
      <c r="G140" s="11">
        <v>0</v>
      </c>
      <c r="H140" s="11">
        <v>42.65</v>
      </c>
      <c r="I140" s="11">
        <v>4.45</v>
      </c>
      <c r="J140" s="11">
        <v>12.016666666666669</v>
      </c>
      <c r="K140" s="11">
        <v>57.411516666666657</v>
      </c>
      <c r="L140" s="11">
        <v>49.6</v>
      </c>
      <c r="M140" s="11">
        <v>208.83333333333329</v>
      </c>
    </row>
    <row r="141" spans="1:13" x14ac:dyDescent="0.25">
      <c r="A141" s="6">
        <v>39</v>
      </c>
      <c r="B141" s="6" t="s">
        <v>229</v>
      </c>
      <c r="C141" s="6" t="s">
        <v>300</v>
      </c>
      <c r="D141" s="6" t="s">
        <v>28</v>
      </c>
      <c r="E141" s="6" t="s">
        <v>31</v>
      </c>
      <c r="F141" s="6" t="s">
        <v>31</v>
      </c>
      <c r="G141" s="10">
        <v>50.366666666666667</v>
      </c>
      <c r="H141" s="10">
        <v>8.3666666666666671</v>
      </c>
      <c r="I141" s="10">
        <v>17.350000000000001</v>
      </c>
      <c r="J141" s="10">
        <v>4.583333333333333</v>
      </c>
      <c r="K141" s="10">
        <v>74.783333333333331</v>
      </c>
      <c r="L141" s="10">
        <v>56.437600000000003</v>
      </c>
      <c r="M141" s="10">
        <v>180.48333333333329</v>
      </c>
    </row>
    <row r="142" spans="1:13" x14ac:dyDescent="0.25">
      <c r="A142" s="8">
        <v>39</v>
      </c>
      <c r="B142" s="8" t="s">
        <v>229</v>
      </c>
      <c r="C142" s="8" t="s">
        <v>301</v>
      </c>
      <c r="D142" s="8" t="s">
        <v>28</v>
      </c>
      <c r="E142" s="8" t="s">
        <v>31</v>
      </c>
      <c r="F142" s="8" t="s">
        <v>31</v>
      </c>
      <c r="G142" s="11">
        <v>0</v>
      </c>
      <c r="H142" s="11">
        <v>62.766666666666673</v>
      </c>
      <c r="I142" s="11">
        <v>7.8833333333333337</v>
      </c>
      <c r="J142" s="11">
        <v>2.9833333333333329</v>
      </c>
      <c r="K142" s="11">
        <v>67.358066666666659</v>
      </c>
      <c r="L142" s="11">
        <v>47.916666666666657</v>
      </c>
      <c r="M142" s="11">
        <v>222.97454999999999</v>
      </c>
    </row>
    <row r="143" spans="1:13" x14ac:dyDescent="0.25">
      <c r="A143" s="6">
        <v>40</v>
      </c>
      <c r="B143" s="6" t="s">
        <v>234</v>
      </c>
      <c r="C143" s="6" t="s">
        <v>300</v>
      </c>
      <c r="D143" s="6" t="s">
        <v>28</v>
      </c>
      <c r="E143" s="6" t="s">
        <v>31</v>
      </c>
      <c r="F143" s="6" t="s">
        <v>31</v>
      </c>
      <c r="G143" s="10">
        <v>50.366666666666667</v>
      </c>
      <c r="H143" s="10">
        <v>8.3666666666666671</v>
      </c>
      <c r="I143" s="10">
        <v>17.350000000000001</v>
      </c>
      <c r="J143" s="10">
        <v>4.75</v>
      </c>
      <c r="K143" s="10">
        <v>75.683333333333337</v>
      </c>
      <c r="L143" s="10">
        <v>57.18333333333333</v>
      </c>
      <c r="M143" s="10">
        <v>181.3</v>
      </c>
    </row>
    <row r="144" spans="1:13" x14ac:dyDescent="0.25">
      <c r="A144" s="8">
        <v>40</v>
      </c>
      <c r="B144" s="8" t="s">
        <v>234</v>
      </c>
      <c r="C144" s="8" t="s">
        <v>301</v>
      </c>
      <c r="D144" s="8" t="s">
        <v>28</v>
      </c>
      <c r="E144" s="8" t="s">
        <v>31</v>
      </c>
      <c r="F144" s="8" t="s">
        <v>31</v>
      </c>
      <c r="G144" s="11">
        <v>0</v>
      </c>
      <c r="H144" s="11">
        <v>3.0166666666666671</v>
      </c>
      <c r="I144" s="11">
        <v>4.3</v>
      </c>
      <c r="J144" s="11">
        <v>1.8833333333333331</v>
      </c>
      <c r="K144" s="11">
        <v>49.166666666666657</v>
      </c>
      <c r="L144" s="11">
        <v>35.333333333333343</v>
      </c>
      <c r="M144" s="11">
        <v>225.80481666666671</v>
      </c>
    </row>
    <row r="145" spans="1:13" x14ac:dyDescent="0.25">
      <c r="A145" s="6">
        <v>41</v>
      </c>
      <c r="B145" s="6" t="s">
        <v>238</v>
      </c>
      <c r="C145" s="6" t="s">
        <v>300</v>
      </c>
      <c r="D145" s="6" t="s">
        <v>28</v>
      </c>
      <c r="E145" s="6" t="s">
        <v>31</v>
      </c>
      <c r="F145" s="6" t="s">
        <v>31</v>
      </c>
      <c r="G145" s="10">
        <v>44.68333333333333</v>
      </c>
      <c r="H145" s="10">
        <v>6.6833333333333336</v>
      </c>
      <c r="I145" s="10">
        <v>11.75</v>
      </c>
      <c r="J145" s="10">
        <v>2.0166666666666671</v>
      </c>
      <c r="K145" s="10">
        <v>64.3</v>
      </c>
      <c r="L145" s="10">
        <v>51.866666666666667</v>
      </c>
      <c r="M145" s="10">
        <v>172.54785000000001</v>
      </c>
    </row>
    <row r="146" spans="1:13" x14ac:dyDescent="0.25">
      <c r="A146" s="8">
        <v>41</v>
      </c>
      <c r="B146" s="8" t="s">
        <v>238</v>
      </c>
      <c r="C146" s="8" t="s">
        <v>301</v>
      </c>
      <c r="D146" s="8" t="s">
        <v>28</v>
      </c>
      <c r="E146" s="8" t="s">
        <v>31</v>
      </c>
      <c r="F146" s="8" t="s">
        <v>31</v>
      </c>
      <c r="G146" s="11">
        <v>0</v>
      </c>
      <c r="H146" s="11">
        <v>42.65</v>
      </c>
      <c r="I146" s="11">
        <v>4.45</v>
      </c>
      <c r="J146" s="11">
        <v>12.016666666666669</v>
      </c>
      <c r="K146" s="11">
        <v>56.916666666666657</v>
      </c>
      <c r="L146" s="11">
        <v>49.017066666666658</v>
      </c>
      <c r="M146" s="11">
        <v>207.5</v>
      </c>
    </row>
    <row r="147" spans="1:13" x14ac:dyDescent="0.25">
      <c r="A147" s="6">
        <v>42</v>
      </c>
      <c r="B147" s="6" t="s">
        <v>242</v>
      </c>
      <c r="C147" s="6" t="s">
        <v>300</v>
      </c>
      <c r="D147" s="6" t="s">
        <v>28</v>
      </c>
      <c r="E147" s="6" t="s">
        <v>33</v>
      </c>
      <c r="F147" s="6" t="s">
        <v>33</v>
      </c>
      <c r="G147" s="10">
        <v>63.2</v>
      </c>
      <c r="H147" s="10">
        <v>14.516666666666669</v>
      </c>
      <c r="I147" s="10">
        <v>29.516666666666669</v>
      </c>
      <c r="J147" s="10">
        <v>6.8833333333333337</v>
      </c>
      <c r="K147" s="10">
        <v>69.25</v>
      </c>
      <c r="L147" s="10">
        <v>57.887300000000003</v>
      </c>
      <c r="M147" s="10">
        <v>164.51666666666671</v>
      </c>
    </row>
    <row r="148" spans="1:13" x14ac:dyDescent="0.25">
      <c r="A148" s="8">
        <v>42</v>
      </c>
      <c r="B148" s="8" t="s">
        <v>242</v>
      </c>
      <c r="C148" s="8" t="s">
        <v>301</v>
      </c>
      <c r="D148" s="8" t="s">
        <v>28</v>
      </c>
      <c r="E148" s="8" t="s">
        <v>33</v>
      </c>
      <c r="F148" s="8" t="s">
        <v>33</v>
      </c>
      <c r="G148" s="11">
        <v>0</v>
      </c>
      <c r="H148" s="11">
        <v>20.583333333333329</v>
      </c>
      <c r="I148" s="11">
        <v>2.833333333333333</v>
      </c>
      <c r="J148" s="11">
        <v>4</v>
      </c>
      <c r="K148" s="11">
        <v>45.56666666666667</v>
      </c>
      <c r="L148" s="11">
        <v>33.783333333333331</v>
      </c>
      <c r="M148" s="11">
        <v>218.63815</v>
      </c>
    </row>
    <row r="149" spans="1:13" x14ac:dyDescent="0.25">
      <c r="A149" s="6">
        <v>43</v>
      </c>
      <c r="B149" s="6" t="s">
        <v>248</v>
      </c>
      <c r="C149" s="6" t="s">
        <v>300</v>
      </c>
      <c r="D149" s="6" t="s">
        <v>28</v>
      </c>
      <c r="E149" s="6" t="s">
        <v>33</v>
      </c>
      <c r="F149" s="6" t="s">
        <v>33</v>
      </c>
      <c r="G149" s="10">
        <v>63.2</v>
      </c>
      <c r="H149" s="10">
        <v>51.31666666666667</v>
      </c>
      <c r="I149" s="10">
        <v>32.283333333333331</v>
      </c>
      <c r="J149" s="10">
        <v>7.7166666666666668</v>
      </c>
      <c r="K149" s="10">
        <v>69.400000000000006</v>
      </c>
      <c r="L149" s="10">
        <v>57.93333333333333</v>
      </c>
      <c r="M149" s="10">
        <v>164.6</v>
      </c>
    </row>
    <row r="150" spans="1:13" x14ac:dyDescent="0.25">
      <c r="A150" s="8">
        <v>43</v>
      </c>
      <c r="B150" s="8" t="s">
        <v>248</v>
      </c>
      <c r="C150" s="8" t="s">
        <v>301</v>
      </c>
      <c r="D150" s="8" t="s">
        <v>28</v>
      </c>
      <c r="E150" s="8" t="s">
        <v>33</v>
      </c>
      <c r="F150" s="8" t="s">
        <v>33</v>
      </c>
      <c r="G150" s="11">
        <v>0</v>
      </c>
      <c r="H150" s="11">
        <v>35.4</v>
      </c>
      <c r="I150" s="11">
        <v>6.3166666666666664</v>
      </c>
      <c r="J150" s="11">
        <v>10.016666666666669</v>
      </c>
      <c r="K150" s="11">
        <v>63.383333333333333</v>
      </c>
      <c r="L150" s="11">
        <v>44.56666666666667</v>
      </c>
      <c r="M150" s="11">
        <v>181.75905</v>
      </c>
    </row>
    <row r="151" spans="1:13" x14ac:dyDescent="0.25">
      <c r="A151" s="6">
        <v>44</v>
      </c>
      <c r="B151" s="6" t="s">
        <v>254</v>
      </c>
      <c r="C151" s="6" t="s">
        <v>300</v>
      </c>
      <c r="D151" s="6" t="s">
        <v>28</v>
      </c>
      <c r="E151" s="6" t="s">
        <v>33</v>
      </c>
      <c r="F151" s="6" t="s">
        <v>33</v>
      </c>
      <c r="G151" s="10">
        <v>0</v>
      </c>
      <c r="H151" s="10">
        <v>65.983333333333334</v>
      </c>
      <c r="I151" s="10">
        <v>30.533333333333331</v>
      </c>
      <c r="J151" s="10">
        <v>6.3</v>
      </c>
      <c r="K151" s="10">
        <v>75.783333333333331</v>
      </c>
      <c r="L151" s="10">
        <v>59.6</v>
      </c>
      <c r="M151" s="10">
        <v>170.42676666666671</v>
      </c>
    </row>
    <row r="152" spans="1:13" x14ac:dyDescent="0.25">
      <c r="A152" s="8">
        <v>44</v>
      </c>
      <c r="B152" s="8" t="s">
        <v>254</v>
      </c>
      <c r="C152" s="8" t="s">
        <v>301</v>
      </c>
      <c r="D152" s="8" t="s">
        <v>28</v>
      </c>
      <c r="E152" s="8" t="s">
        <v>33</v>
      </c>
      <c r="F152" s="8" t="s">
        <v>33</v>
      </c>
      <c r="G152" s="11">
        <v>0</v>
      </c>
      <c r="H152" s="11">
        <v>16.899999999999999</v>
      </c>
      <c r="I152" s="11">
        <v>2.833333333333333</v>
      </c>
      <c r="J152" s="11">
        <v>4</v>
      </c>
      <c r="K152" s="11">
        <v>46.733333333333327</v>
      </c>
      <c r="L152" s="11">
        <v>34.783333333333331</v>
      </c>
      <c r="M152" s="11">
        <v>220.0155</v>
      </c>
    </row>
    <row r="153" spans="1:13" x14ac:dyDescent="0.25">
      <c r="A153" s="6">
        <v>45</v>
      </c>
      <c r="B153" s="6" t="s">
        <v>259</v>
      </c>
      <c r="C153" s="6" t="s">
        <v>300</v>
      </c>
      <c r="D153" s="6" t="s">
        <v>28</v>
      </c>
      <c r="E153" s="6" t="s">
        <v>33</v>
      </c>
      <c r="F153" s="6" t="s">
        <v>33</v>
      </c>
      <c r="G153" s="10">
        <v>63.2</v>
      </c>
      <c r="H153" s="10">
        <v>51.31666666666667</v>
      </c>
      <c r="I153" s="10">
        <v>32.283333333333331</v>
      </c>
      <c r="J153" s="10">
        <v>7.7166666666666668</v>
      </c>
      <c r="K153" s="10">
        <v>69.400000000000006</v>
      </c>
      <c r="L153" s="10">
        <v>57.93333333333333</v>
      </c>
      <c r="M153" s="10">
        <v>164.6</v>
      </c>
    </row>
    <row r="154" spans="1:13" x14ac:dyDescent="0.25">
      <c r="A154" s="8">
        <v>45</v>
      </c>
      <c r="B154" s="8" t="s">
        <v>259</v>
      </c>
      <c r="C154" s="8" t="s">
        <v>301</v>
      </c>
      <c r="D154" s="8" t="s">
        <v>28</v>
      </c>
      <c r="E154" s="8" t="s">
        <v>33</v>
      </c>
      <c r="F154" s="8" t="s">
        <v>33</v>
      </c>
      <c r="G154" s="11">
        <v>0</v>
      </c>
      <c r="H154" s="11">
        <v>24.31666666666667</v>
      </c>
      <c r="I154" s="11">
        <v>2.666666666666667</v>
      </c>
      <c r="J154" s="11">
        <v>5.6833333333333336</v>
      </c>
      <c r="K154" s="11">
        <v>44.133333333333333</v>
      </c>
      <c r="L154" s="11">
        <v>32.116666666666667</v>
      </c>
      <c r="M154" s="11">
        <v>240.50931666666659</v>
      </c>
    </row>
    <row r="155" spans="1:13" x14ac:dyDescent="0.25">
      <c r="A155" s="6">
        <v>46</v>
      </c>
      <c r="B155" s="6" t="s">
        <v>263</v>
      </c>
      <c r="C155" s="6" t="s">
        <v>300</v>
      </c>
      <c r="D155" s="6" t="s">
        <v>28</v>
      </c>
      <c r="E155" s="6" t="s">
        <v>33</v>
      </c>
      <c r="F155" s="6" t="s">
        <v>33</v>
      </c>
      <c r="G155" s="10">
        <v>34.833333333333343</v>
      </c>
      <c r="H155" s="10">
        <v>37.450000000000003</v>
      </c>
      <c r="I155" s="10">
        <v>18.850000000000001</v>
      </c>
      <c r="J155" s="10">
        <v>8</v>
      </c>
      <c r="K155" s="10">
        <v>64.659216666666666</v>
      </c>
      <c r="L155" s="10">
        <v>54.06666666666667</v>
      </c>
      <c r="M155" s="10">
        <v>176.77581666666671</v>
      </c>
    </row>
    <row r="156" spans="1:13" x14ac:dyDescent="0.25">
      <c r="A156" s="8">
        <v>46</v>
      </c>
      <c r="B156" s="8" t="s">
        <v>263</v>
      </c>
      <c r="C156" s="8" t="s">
        <v>301</v>
      </c>
      <c r="D156" s="8" t="s">
        <v>28</v>
      </c>
      <c r="E156" s="8" t="s">
        <v>33</v>
      </c>
      <c r="F156" s="8" t="s">
        <v>33</v>
      </c>
      <c r="G156" s="11">
        <v>0</v>
      </c>
      <c r="H156" s="11">
        <v>20.583333333333329</v>
      </c>
      <c r="I156" s="11">
        <v>2.833333333333333</v>
      </c>
      <c r="J156" s="11">
        <v>4</v>
      </c>
      <c r="K156" s="11">
        <v>46.733333333333327</v>
      </c>
      <c r="L156" s="11">
        <v>35.116666666666667</v>
      </c>
      <c r="M156" s="11">
        <v>220.48333333333329</v>
      </c>
    </row>
    <row r="157" spans="1:13" x14ac:dyDescent="0.25">
      <c r="A157" s="6">
        <v>47</v>
      </c>
      <c r="B157" s="6" t="s">
        <v>266</v>
      </c>
      <c r="C157" s="6" t="s">
        <v>300</v>
      </c>
      <c r="D157" s="6" t="s">
        <v>28</v>
      </c>
      <c r="E157" s="6" t="s">
        <v>31</v>
      </c>
      <c r="F157" s="6" t="s">
        <v>31</v>
      </c>
      <c r="G157" s="10">
        <v>44.68333333333333</v>
      </c>
      <c r="H157" s="10">
        <v>6.6833333333333336</v>
      </c>
      <c r="I157" s="10">
        <v>11.75</v>
      </c>
      <c r="J157" s="10">
        <v>2.0166666666666671</v>
      </c>
      <c r="K157" s="10">
        <v>64.3</v>
      </c>
      <c r="L157" s="10">
        <v>51.866666666666667</v>
      </c>
      <c r="M157" s="10">
        <v>172.54785000000001</v>
      </c>
    </row>
    <row r="158" spans="1:13" x14ac:dyDescent="0.25">
      <c r="A158" s="8">
        <v>47</v>
      </c>
      <c r="B158" s="8" t="s">
        <v>266</v>
      </c>
      <c r="C158" s="8" t="s">
        <v>301</v>
      </c>
      <c r="D158" s="8" t="s">
        <v>28</v>
      </c>
      <c r="E158" s="8" t="s">
        <v>31</v>
      </c>
      <c r="F158" s="8" t="s">
        <v>31</v>
      </c>
      <c r="G158" s="11">
        <v>0</v>
      </c>
      <c r="H158" s="11">
        <v>62.766666666666673</v>
      </c>
      <c r="I158" s="11">
        <v>8.9</v>
      </c>
      <c r="J158" s="11">
        <v>3.3</v>
      </c>
      <c r="K158" s="11">
        <v>67.36666666666666</v>
      </c>
      <c r="L158" s="11">
        <v>48.233333333333327</v>
      </c>
      <c r="M158" s="11">
        <v>221.9214666666667</v>
      </c>
    </row>
    <row r="159" spans="1:13" x14ac:dyDescent="0.25">
      <c r="A159" s="6">
        <v>48</v>
      </c>
      <c r="B159" s="6" t="s">
        <v>269</v>
      </c>
      <c r="C159" s="6" t="s">
        <v>300</v>
      </c>
      <c r="D159" s="6" t="s">
        <v>28</v>
      </c>
      <c r="E159" s="6" t="s">
        <v>33</v>
      </c>
      <c r="F159" s="6" t="s">
        <v>33</v>
      </c>
      <c r="G159" s="10">
        <v>0</v>
      </c>
      <c r="H159" s="10">
        <v>65.983333333333334</v>
      </c>
      <c r="I159" s="10">
        <v>30.533333333333331</v>
      </c>
      <c r="J159" s="10">
        <v>6.3833333333333337</v>
      </c>
      <c r="K159" s="10">
        <v>76.566666666666663</v>
      </c>
      <c r="L159" s="10">
        <v>59.983333333333327</v>
      </c>
      <c r="M159" s="10">
        <v>171.2833333333333</v>
      </c>
    </row>
    <row r="160" spans="1:13" x14ac:dyDescent="0.25">
      <c r="A160" s="8">
        <v>48</v>
      </c>
      <c r="B160" s="8" t="s">
        <v>269</v>
      </c>
      <c r="C160" s="8" t="s">
        <v>301</v>
      </c>
      <c r="D160" s="8" t="s">
        <v>28</v>
      </c>
      <c r="E160" s="8" t="s">
        <v>33</v>
      </c>
      <c r="F160" s="8" t="s">
        <v>33</v>
      </c>
      <c r="G160" s="11">
        <v>0</v>
      </c>
      <c r="H160" s="11">
        <v>35.4</v>
      </c>
      <c r="I160" s="11">
        <v>6.3166666666666664</v>
      </c>
      <c r="J160" s="11">
        <v>10.35</v>
      </c>
      <c r="K160" s="11">
        <v>65.8</v>
      </c>
      <c r="L160" s="11">
        <v>46.880533333333332</v>
      </c>
      <c r="M160" s="11">
        <v>183.4</v>
      </c>
    </row>
    <row r="161" spans="1:13" x14ac:dyDescent="0.25">
      <c r="A161" s="6">
        <v>49</v>
      </c>
      <c r="B161" s="6" t="s">
        <v>273</v>
      </c>
      <c r="C161" s="6" t="s">
        <v>300</v>
      </c>
      <c r="D161" s="6" t="s">
        <v>28</v>
      </c>
      <c r="E161" s="6" t="s">
        <v>33</v>
      </c>
      <c r="F161" s="6" t="s">
        <v>33</v>
      </c>
      <c r="G161" s="10">
        <v>0</v>
      </c>
      <c r="H161" s="10">
        <v>65.983333333333334</v>
      </c>
      <c r="I161" s="10">
        <v>30.533333333333331</v>
      </c>
      <c r="J161" s="10">
        <v>6.3</v>
      </c>
      <c r="K161" s="10">
        <v>75.514616666666669</v>
      </c>
      <c r="L161" s="10">
        <v>59.383333333333333</v>
      </c>
      <c r="M161" s="10">
        <v>170.0333333333333</v>
      </c>
    </row>
    <row r="162" spans="1:13" x14ac:dyDescent="0.25">
      <c r="A162" s="8">
        <v>49</v>
      </c>
      <c r="B162" s="8" t="s">
        <v>273</v>
      </c>
      <c r="C162" s="8" t="s">
        <v>301</v>
      </c>
      <c r="D162" s="8" t="s">
        <v>28</v>
      </c>
      <c r="E162" s="8" t="s">
        <v>33</v>
      </c>
      <c r="F162" s="8" t="s">
        <v>33</v>
      </c>
      <c r="G162" s="11">
        <v>0</v>
      </c>
      <c r="H162" s="11">
        <v>20.633333333333329</v>
      </c>
      <c r="I162" s="11">
        <v>2.666666666666667</v>
      </c>
      <c r="J162" s="11">
        <v>5.0166666666666666</v>
      </c>
      <c r="K162" s="11">
        <v>43.1</v>
      </c>
      <c r="L162" s="11">
        <v>32.116666666666667</v>
      </c>
      <c r="M162" s="11">
        <v>242.5133166666667</v>
      </c>
    </row>
    <row r="163" spans="1:13" x14ac:dyDescent="0.25">
      <c r="A163" s="6">
        <v>50</v>
      </c>
      <c r="B163" s="6" t="s">
        <v>277</v>
      </c>
      <c r="C163" s="6" t="s">
        <v>300</v>
      </c>
      <c r="D163" s="6" t="s">
        <v>28</v>
      </c>
      <c r="E163" s="6" t="s">
        <v>33</v>
      </c>
      <c r="F163" s="6" t="s">
        <v>33</v>
      </c>
      <c r="G163" s="10">
        <v>34.833333333333343</v>
      </c>
      <c r="H163" s="10">
        <v>58.166666666666657</v>
      </c>
      <c r="I163" s="10">
        <v>21.679983333333329</v>
      </c>
      <c r="J163" s="10">
        <v>8.0833333333333339</v>
      </c>
      <c r="K163" s="10">
        <v>65.966666666666669</v>
      </c>
      <c r="L163" s="10">
        <v>54.8</v>
      </c>
      <c r="M163" s="10">
        <v>177.1166666666667</v>
      </c>
    </row>
    <row r="164" spans="1:13" x14ac:dyDescent="0.25">
      <c r="A164" s="8">
        <v>50</v>
      </c>
      <c r="B164" s="8" t="s">
        <v>277</v>
      </c>
      <c r="C164" s="8" t="s">
        <v>301</v>
      </c>
      <c r="D164" s="8" t="s">
        <v>28</v>
      </c>
      <c r="E164" s="8" t="s">
        <v>33</v>
      </c>
      <c r="F164" s="8" t="s">
        <v>33</v>
      </c>
      <c r="G164" s="11">
        <v>0</v>
      </c>
      <c r="H164" s="11">
        <v>35.4</v>
      </c>
      <c r="I164" s="11">
        <v>6.3166666666666664</v>
      </c>
      <c r="J164" s="11">
        <v>10.68333333333333</v>
      </c>
      <c r="K164" s="11">
        <v>66.099999999999994</v>
      </c>
      <c r="L164" s="11">
        <v>47.533333333333331</v>
      </c>
      <c r="M164" s="11">
        <v>185.7166666666667</v>
      </c>
    </row>
    <row r="165" spans="1:13" x14ac:dyDescent="0.25">
      <c r="A165" s="6">
        <v>51</v>
      </c>
      <c r="B165" s="6" t="s">
        <v>281</v>
      </c>
      <c r="C165" s="6" t="s">
        <v>300</v>
      </c>
      <c r="D165" s="6" t="s">
        <v>28</v>
      </c>
      <c r="E165" s="6" t="s">
        <v>29</v>
      </c>
      <c r="F165" s="6" t="s">
        <v>96</v>
      </c>
      <c r="G165" s="10">
        <v>0</v>
      </c>
      <c r="H165" s="10">
        <v>35.56666666666667</v>
      </c>
      <c r="I165" s="10">
        <v>30.984083333333331</v>
      </c>
      <c r="J165" s="10">
        <v>3.3</v>
      </c>
      <c r="K165" s="10">
        <v>67.480850000000004</v>
      </c>
      <c r="L165" s="10">
        <v>48.56666666666667</v>
      </c>
      <c r="M165" s="10">
        <v>79.916666666666671</v>
      </c>
    </row>
    <row r="166" spans="1:13" x14ac:dyDescent="0.25">
      <c r="A166" s="8">
        <v>51</v>
      </c>
      <c r="B166" s="8" t="s">
        <v>281</v>
      </c>
      <c r="C166" s="8" t="s">
        <v>301</v>
      </c>
      <c r="D166" s="8" t="s">
        <v>28</v>
      </c>
      <c r="E166" s="8" t="s">
        <v>29</v>
      </c>
      <c r="F166" s="8" t="s">
        <v>96</v>
      </c>
      <c r="G166" s="11">
        <v>0</v>
      </c>
      <c r="H166" s="11">
        <v>48.18333333333333</v>
      </c>
      <c r="I166" s="11">
        <v>17.666666666666671</v>
      </c>
      <c r="J166" s="11">
        <v>10.233333333333331</v>
      </c>
      <c r="K166" s="11">
        <v>51.033333333333331</v>
      </c>
      <c r="L166" s="11">
        <v>37.133333333333333</v>
      </c>
      <c r="M166" s="11">
        <v>121.31666666666671</v>
      </c>
    </row>
    <row r="167" spans="1:13" x14ac:dyDescent="0.25">
      <c r="A167" s="6">
        <v>52</v>
      </c>
      <c r="B167" s="6" t="s">
        <v>283</v>
      </c>
      <c r="C167" s="6" t="s">
        <v>300</v>
      </c>
      <c r="D167" s="6" t="s">
        <v>28</v>
      </c>
      <c r="E167" s="6" t="s">
        <v>29</v>
      </c>
      <c r="F167" s="6" t="s">
        <v>130</v>
      </c>
      <c r="G167" s="10">
        <v>0</v>
      </c>
      <c r="H167" s="10">
        <v>35.1</v>
      </c>
      <c r="I167" s="10">
        <v>15.116666666666671</v>
      </c>
      <c r="J167" s="10">
        <v>6.6</v>
      </c>
      <c r="K167" s="10">
        <v>73.302949999999996</v>
      </c>
      <c r="L167" s="10">
        <v>55.483333333333327</v>
      </c>
      <c r="M167" s="10">
        <v>78.349999999999994</v>
      </c>
    </row>
    <row r="168" spans="1:13" x14ac:dyDescent="0.25">
      <c r="A168" s="8">
        <v>52</v>
      </c>
      <c r="B168" s="8" t="s">
        <v>283</v>
      </c>
      <c r="C168" s="8" t="s">
        <v>301</v>
      </c>
      <c r="D168" s="8" t="s">
        <v>28</v>
      </c>
      <c r="E168" s="8" t="s">
        <v>29</v>
      </c>
      <c r="F168" s="8" t="s">
        <v>130</v>
      </c>
      <c r="G168" s="11">
        <v>0</v>
      </c>
      <c r="H168" s="11">
        <v>26.333333333333329</v>
      </c>
      <c r="I168" s="11">
        <v>10.016666666666669</v>
      </c>
      <c r="J168" s="11">
        <v>14.15</v>
      </c>
      <c r="K168" s="11">
        <v>51.266666666666673</v>
      </c>
      <c r="L168" s="11">
        <v>41.040366666666657</v>
      </c>
      <c r="M168" s="11">
        <v>143.5333333333333</v>
      </c>
    </row>
    <row r="169" spans="1:13" x14ac:dyDescent="0.25">
      <c r="A169" s="6">
        <v>53</v>
      </c>
      <c r="B169" s="6" t="s">
        <v>287</v>
      </c>
      <c r="C169" s="6" t="s">
        <v>300</v>
      </c>
      <c r="D169" s="6" t="s">
        <v>28</v>
      </c>
      <c r="E169" s="6" t="s">
        <v>31</v>
      </c>
      <c r="F169" s="6" t="s">
        <v>31</v>
      </c>
      <c r="G169" s="10">
        <v>44.68333333333333</v>
      </c>
      <c r="H169" s="10">
        <v>6.6833333333333336</v>
      </c>
      <c r="I169" s="10">
        <v>11.75</v>
      </c>
      <c r="J169" s="10">
        <v>2.0166666666666671</v>
      </c>
      <c r="K169" s="10">
        <v>64.3</v>
      </c>
      <c r="L169" s="10">
        <v>51.866666666666667</v>
      </c>
      <c r="M169" s="10">
        <v>172.54785000000001</v>
      </c>
    </row>
    <row r="170" spans="1:13" x14ac:dyDescent="0.25">
      <c r="A170" s="8">
        <v>53</v>
      </c>
      <c r="B170" s="8" t="s">
        <v>287</v>
      </c>
      <c r="C170" s="8" t="s">
        <v>301</v>
      </c>
      <c r="D170" s="8" t="s">
        <v>28</v>
      </c>
      <c r="E170" s="8" t="s">
        <v>31</v>
      </c>
      <c r="F170" s="8" t="s">
        <v>31</v>
      </c>
      <c r="G170" s="11">
        <v>0</v>
      </c>
      <c r="H170" s="11">
        <v>3.0166666666666671</v>
      </c>
      <c r="I170" s="11">
        <v>4.3</v>
      </c>
      <c r="J170" s="11">
        <v>1.8833333333333331</v>
      </c>
      <c r="K170" s="11">
        <v>48.913433333333337</v>
      </c>
      <c r="L170" s="11">
        <v>35.333333333333343</v>
      </c>
      <c r="M170" s="11">
        <v>224.5</v>
      </c>
    </row>
    <row r="171" spans="1:13" x14ac:dyDescent="0.25">
      <c r="A171" s="6">
        <v>54</v>
      </c>
      <c r="B171" s="6" t="s">
        <v>289</v>
      </c>
      <c r="C171" s="6" t="s">
        <v>300</v>
      </c>
      <c r="D171" s="6" t="s">
        <v>28</v>
      </c>
      <c r="E171" s="6" t="s">
        <v>33</v>
      </c>
      <c r="F171" s="6" t="s">
        <v>33</v>
      </c>
      <c r="G171" s="10">
        <v>34.833333333333343</v>
      </c>
      <c r="H171" s="10">
        <v>58.166666666666657</v>
      </c>
      <c r="I171" s="10">
        <v>21.679983333333329</v>
      </c>
      <c r="J171" s="10">
        <v>8</v>
      </c>
      <c r="K171" s="10">
        <v>64.5</v>
      </c>
      <c r="L171" s="10">
        <v>53.652149999999999</v>
      </c>
      <c r="M171" s="10">
        <v>176.5333333333333</v>
      </c>
    </row>
    <row r="172" spans="1:13" x14ac:dyDescent="0.25">
      <c r="A172" s="8">
        <v>54</v>
      </c>
      <c r="B172" s="8" t="s">
        <v>289</v>
      </c>
      <c r="C172" s="8" t="s">
        <v>301</v>
      </c>
      <c r="D172" s="8" t="s">
        <v>28</v>
      </c>
      <c r="E172" s="8" t="s">
        <v>33</v>
      </c>
      <c r="F172" s="8" t="s">
        <v>33</v>
      </c>
      <c r="G172" s="11">
        <v>0</v>
      </c>
      <c r="H172" s="11">
        <v>24.31666666666667</v>
      </c>
      <c r="I172" s="11">
        <v>2.666666666666667</v>
      </c>
      <c r="J172" s="11">
        <v>5.6833333333333336</v>
      </c>
      <c r="K172" s="11">
        <v>44.466666666666669</v>
      </c>
      <c r="L172" s="11">
        <v>32.450000000000003</v>
      </c>
      <c r="M172" s="11">
        <v>243.15</v>
      </c>
    </row>
    <row r="175" spans="1:13" ht="27.95" customHeight="1" x14ac:dyDescent="0.25">
      <c r="A175" s="55" t="s">
        <v>302</v>
      </c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</row>
    <row r="176" spans="1:13" ht="3.9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8" spans="1:13" ht="30" x14ac:dyDescent="0.25">
      <c r="A178" s="9" t="s">
        <v>59</v>
      </c>
      <c r="B178" s="9" t="s">
        <v>60</v>
      </c>
      <c r="C178" s="9" t="s">
        <v>292</v>
      </c>
      <c r="D178" s="9" t="s">
        <v>24</v>
      </c>
      <c r="E178" s="9" t="s">
        <v>61</v>
      </c>
      <c r="F178" s="9" t="s">
        <v>62</v>
      </c>
      <c r="G178" s="9" t="s">
        <v>293</v>
      </c>
      <c r="H178" s="9" t="s">
        <v>294</v>
      </c>
      <c r="I178" s="9" t="s">
        <v>295</v>
      </c>
      <c r="J178" s="9" t="s">
        <v>296</v>
      </c>
      <c r="K178" s="9" t="s">
        <v>297</v>
      </c>
      <c r="L178" s="9" t="s">
        <v>298</v>
      </c>
      <c r="M178" s="9" t="s">
        <v>299</v>
      </c>
    </row>
    <row r="179" spans="1:13" x14ac:dyDescent="0.25">
      <c r="A179" s="6">
        <v>1</v>
      </c>
      <c r="B179" s="6" t="s">
        <v>75</v>
      </c>
      <c r="C179" s="6" t="s">
        <v>300</v>
      </c>
      <c r="D179" s="6" t="s">
        <v>28</v>
      </c>
      <c r="E179" s="6" t="s">
        <v>35</v>
      </c>
      <c r="F179" s="6" t="s">
        <v>76</v>
      </c>
      <c r="G179" s="10">
        <v>0.31331323290921648</v>
      </c>
      <c r="H179" s="10">
        <v>4.1652318794050638E-2</v>
      </c>
      <c r="I179" s="10">
        <v>0.155968406398383</v>
      </c>
      <c r="J179" s="10">
        <v>0.44927380259769911</v>
      </c>
      <c r="K179" s="10">
        <v>60.308696506028731</v>
      </c>
      <c r="L179" s="10">
        <v>44.619089325926979</v>
      </c>
      <c r="M179" s="10">
        <v>199.27859331962469</v>
      </c>
    </row>
    <row r="180" spans="1:13" x14ac:dyDescent="0.25">
      <c r="A180" s="8">
        <v>1</v>
      </c>
      <c r="B180" s="8" t="s">
        <v>75</v>
      </c>
      <c r="C180" s="8" t="s">
        <v>301</v>
      </c>
      <c r="D180" s="8" t="s">
        <v>28</v>
      </c>
      <c r="E180" s="8" t="s">
        <v>35</v>
      </c>
      <c r="F180" s="8" t="s">
        <v>76</v>
      </c>
      <c r="G180" s="11">
        <v>0</v>
      </c>
      <c r="H180" s="11">
        <v>0.2136487015115684</v>
      </c>
      <c r="I180" s="11">
        <v>0</v>
      </c>
      <c r="J180" s="11">
        <v>0.30731281945969252</v>
      </c>
      <c r="K180" s="11">
        <v>55.580881691351998</v>
      </c>
      <c r="L180" s="11">
        <v>38.88632527176938</v>
      </c>
      <c r="M180" s="11">
        <v>215.4860733436561</v>
      </c>
    </row>
    <row r="181" spans="1:13" x14ac:dyDescent="0.25">
      <c r="A181" s="6">
        <v>2</v>
      </c>
      <c r="B181" s="6" t="s">
        <v>83</v>
      </c>
      <c r="C181" s="6" t="s">
        <v>300</v>
      </c>
      <c r="D181" s="6" t="s">
        <v>28</v>
      </c>
      <c r="E181" s="6" t="s">
        <v>35</v>
      </c>
      <c r="F181" s="6" t="s">
        <v>76</v>
      </c>
      <c r="G181" s="10">
        <v>0.31331323290921648</v>
      </c>
      <c r="H181" s="10">
        <v>4.1652318794050638E-2</v>
      </c>
      <c r="I181" s="10">
        <v>0.155968406398383</v>
      </c>
      <c r="J181" s="10">
        <v>0.44927380259769911</v>
      </c>
      <c r="K181" s="10">
        <v>60.301496385496783</v>
      </c>
      <c r="L181" s="10">
        <v>44.619089325926979</v>
      </c>
      <c r="M181" s="10">
        <v>199.22648418736321</v>
      </c>
    </row>
    <row r="182" spans="1:13" x14ac:dyDescent="0.25">
      <c r="A182" s="8">
        <v>2</v>
      </c>
      <c r="B182" s="8" t="s">
        <v>83</v>
      </c>
      <c r="C182" s="8" t="s">
        <v>301</v>
      </c>
      <c r="D182" s="8" t="s">
        <v>28</v>
      </c>
      <c r="E182" s="8" t="s">
        <v>35</v>
      </c>
      <c r="F182" s="8" t="s">
        <v>76</v>
      </c>
      <c r="G182" s="11">
        <v>0</v>
      </c>
      <c r="H182" s="11">
        <v>8.3882197240028836E-2</v>
      </c>
      <c r="I182" s="11">
        <v>3.091495950618035E-2</v>
      </c>
      <c r="J182" s="11">
        <v>0.2309310830082773</v>
      </c>
      <c r="K182" s="11">
        <v>57.928893825091471</v>
      </c>
      <c r="L182" s="11">
        <v>43.162925395186832</v>
      </c>
      <c r="M182" s="11">
        <v>203.77852793806281</v>
      </c>
    </row>
    <row r="183" spans="1:13" x14ac:dyDescent="0.25">
      <c r="A183" s="6">
        <v>3</v>
      </c>
      <c r="B183" s="6" t="s">
        <v>87</v>
      </c>
      <c r="C183" s="6" t="s">
        <v>300</v>
      </c>
      <c r="D183" s="6" t="s">
        <v>28</v>
      </c>
      <c r="E183" s="6" t="s">
        <v>35</v>
      </c>
      <c r="F183" s="6" t="s">
        <v>88</v>
      </c>
      <c r="G183" s="10">
        <v>0.32207239596471771</v>
      </c>
      <c r="H183" s="10">
        <v>0.46962669093374088</v>
      </c>
      <c r="I183" s="10">
        <v>0</v>
      </c>
      <c r="J183" s="10">
        <v>0.26467880112010561</v>
      </c>
      <c r="K183" s="10">
        <v>46.828639184274387</v>
      </c>
      <c r="L183" s="10">
        <v>41.953809708617477</v>
      </c>
      <c r="M183" s="10">
        <v>230.50068292981709</v>
      </c>
    </row>
    <row r="184" spans="1:13" x14ac:dyDescent="0.25">
      <c r="A184" s="8">
        <v>3</v>
      </c>
      <c r="B184" s="8" t="s">
        <v>87</v>
      </c>
      <c r="C184" s="8" t="s">
        <v>301</v>
      </c>
      <c r="D184" s="8" t="s">
        <v>28</v>
      </c>
      <c r="E184" s="8" t="s">
        <v>35</v>
      </c>
      <c r="F184" s="8" t="s">
        <v>88</v>
      </c>
      <c r="G184" s="11">
        <v>0</v>
      </c>
      <c r="H184" s="11">
        <v>0.34734042341449439</v>
      </c>
      <c r="I184" s="11">
        <v>0</v>
      </c>
      <c r="J184" s="11">
        <v>0.43740140315438419</v>
      </c>
      <c r="K184" s="11">
        <v>58.410381444501432</v>
      </c>
      <c r="L184" s="11">
        <v>47.464359459883809</v>
      </c>
      <c r="M184" s="11">
        <v>214.02953530309489</v>
      </c>
    </row>
    <row r="185" spans="1:13" x14ac:dyDescent="0.25">
      <c r="A185" s="6">
        <v>4</v>
      </c>
      <c r="B185" s="6" t="s">
        <v>95</v>
      </c>
      <c r="C185" s="6" t="s">
        <v>300</v>
      </c>
      <c r="D185" s="6" t="s">
        <v>28</v>
      </c>
      <c r="E185" s="6" t="s">
        <v>29</v>
      </c>
      <c r="F185" s="6" t="s">
        <v>96</v>
      </c>
      <c r="G185" s="10">
        <v>0</v>
      </c>
      <c r="H185" s="10">
        <v>0.35568686098748031</v>
      </c>
      <c r="I185" s="10">
        <v>0.57585003194744566</v>
      </c>
      <c r="J185" s="10">
        <v>0.62657519758941227</v>
      </c>
      <c r="K185" s="10">
        <v>44.777394576317398</v>
      </c>
      <c r="L185" s="10">
        <v>31.030770141318762</v>
      </c>
      <c r="M185" s="10">
        <v>70.832492215617009</v>
      </c>
    </row>
    <row r="186" spans="1:13" x14ac:dyDescent="0.25">
      <c r="A186" s="8">
        <v>4</v>
      </c>
      <c r="B186" s="8" t="s">
        <v>95</v>
      </c>
      <c r="C186" s="8" t="s">
        <v>301</v>
      </c>
      <c r="D186" s="8" t="s">
        <v>28</v>
      </c>
      <c r="E186" s="8" t="s">
        <v>29</v>
      </c>
      <c r="F186" s="8" t="s">
        <v>96</v>
      </c>
      <c r="G186" s="11">
        <v>0</v>
      </c>
      <c r="H186" s="11">
        <v>0.83987814360898194</v>
      </c>
      <c r="I186" s="11">
        <v>1.7979996304002079</v>
      </c>
      <c r="J186" s="11">
        <v>0.57590785271071809</v>
      </c>
      <c r="K186" s="11">
        <v>16.043682536598411</v>
      </c>
      <c r="L186" s="11">
        <v>16.779596658523619</v>
      </c>
      <c r="M186" s="11">
        <v>112.0883548622644</v>
      </c>
    </row>
    <row r="187" spans="1:13" x14ac:dyDescent="0.25">
      <c r="A187" s="6">
        <v>5</v>
      </c>
      <c r="B187" s="6" t="s">
        <v>102</v>
      </c>
      <c r="C187" s="6" t="s">
        <v>300</v>
      </c>
      <c r="D187" s="6" t="s">
        <v>28</v>
      </c>
      <c r="E187" s="6" t="s">
        <v>29</v>
      </c>
      <c r="F187" s="6" t="s">
        <v>96</v>
      </c>
      <c r="G187" s="10">
        <v>0</v>
      </c>
      <c r="H187" s="10">
        <v>0.35568686098748031</v>
      </c>
      <c r="I187" s="10">
        <v>0.46935934842854138</v>
      </c>
      <c r="J187" s="10">
        <v>0.35650575379932598</v>
      </c>
      <c r="K187" s="10">
        <v>43.251327961348252</v>
      </c>
      <c r="L187" s="10">
        <v>30.282041524727092</v>
      </c>
      <c r="M187" s="10">
        <v>66.907081684469304</v>
      </c>
    </row>
    <row r="188" spans="1:13" x14ac:dyDescent="0.25">
      <c r="A188" s="8">
        <v>5</v>
      </c>
      <c r="B188" s="8" t="s">
        <v>102</v>
      </c>
      <c r="C188" s="8" t="s">
        <v>301</v>
      </c>
      <c r="D188" s="8" t="s">
        <v>28</v>
      </c>
      <c r="E188" s="8" t="s">
        <v>29</v>
      </c>
      <c r="F188" s="8" t="s">
        <v>96</v>
      </c>
      <c r="G188" s="11">
        <v>0</v>
      </c>
      <c r="H188" s="11">
        <v>0.22156090055420241</v>
      </c>
      <c r="I188" s="11">
        <v>0</v>
      </c>
      <c r="J188" s="11">
        <v>0.11647473715777031</v>
      </c>
      <c r="K188" s="11">
        <v>21.52228685090974</v>
      </c>
      <c r="L188" s="11">
        <v>17.072623143274491</v>
      </c>
      <c r="M188" s="11">
        <v>102.738159054381</v>
      </c>
    </row>
    <row r="189" spans="1:13" x14ac:dyDescent="0.25">
      <c r="A189" s="6">
        <v>6</v>
      </c>
      <c r="B189" s="6" t="s">
        <v>108</v>
      </c>
      <c r="C189" s="6" t="s">
        <v>300</v>
      </c>
      <c r="D189" s="6" t="s">
        <v>28</v>
      </c>
      <c r="E189" s="6" t="s">
        <v>29</v>
      </c>
      <c r="F189" s="6" t="s">
        <v>96</v>
      </c>
      <c r="G189" s="10">
        <v>0</v>
      </c>
      <c r="H189" s="10">
        <v>0.38306581509713777</v>
      </c>
      <c r="I189" s="10">
        <v>2.3361160569771502</v>
      </c>
      <c r="J189" s="10">
        <v>0.20461421027387261</v>
      </c>
      <c r="K189" s="10">
        <v>38.636070215722071</v>
      </c>
      <c r="L189" s="10">
        <v>26.286683002730651</v>
      </c>
      <c r="M189" s="10">
        <v>80.361862644527108</v>
      </c>
    </row>
    <row r="190" spans="1:13" x14ac:dyDescent="0.25">
      <c r="A190" s="8">
        <v>6</v>
      </c>
      <c r="B190" s="8" t="s">
        <v>108</v>
      </c>
      <c r="C190" s="8" t="s">
        <v>301</v>
      </c>
      <c r="D190" s="8" t="s">
        <v>28</v>
      </c>
      <c r="E190" s="8" t="s">
        <v>29</v>
      </c>
      <c r="F190" s="8" t="s">
        <v>96</v>
      </c>
      <c r="G190" s="11">
        <v>0</v>
      </c>
      <c r="H190" s="11">
        <v>0.83987814360898194</v>
      </c>
      <c r="I190" s="11">
        <v>1.7979996304002079</v>
      </c>
      <c r="J190" s="11">
        <v>0.57590785271071809</v>
      </c>
      <c r="K190" s="11">
        <v>16.043682536598411</v>
      </c>
      <c r="L190" s="11">
        <v>16.779596658523619</v>
      </c>
      <c r="M190" s="11">
        <v>112.1131547520701</v>
      </c>
    </row>
    <row r="191" spans="1:13" x14ac:dyDescent="0.25">
      <c r="A191" s="6">
        <v>7</v>
      </c>
      <c r="B191" s="6" t="s">
        <v>111</v>
      </c>
      <c r="C191" s="6" t="s">
        <v>300</v>
      </c>
      <c r="D191" s="6" t="s">
        <v>28</v>
      </c>
      <c r="E191" s="6" t="s">
        <v>29</v>
      </c>
      <c r="F191" s="6" t="s">
        <v>96</v>
      </c>
      <c r="G191" s="10">
        <v>0</v>
      </c>
      <c r="H191" s="10">
        <v>0.4715380269015641</v>
      </c>
      <c r="I191" s="10">
        <v>0.72334267161559207</v>
      </c>
      <c r="J191" s="10">
        <v>0.62657519758941227</v>
      </c>
      <c r="K191" s="10">
        <v>44.372426251753588</v>
      </c>
      <c r="L191" s="10">
        <v>30.69503766819436</v>
      </c>
      <c r="M191" s="10">
        <v>69.221442413661691</v>
      </c>
    </row>
    <row r="192" spans="1:13" x14ac:dyDescent="0.25">
      <c r="A192" s="8">
        <v>7</v>
      </c>
      <c r="B192" s="8" t="s">
        <v>111</v>
      </c>
      <c r="C192" s="8" t="s">
        <v>301</v>
      </c>
      <c r="D192" s="8" t="s">
        <v>28</v>
      </c>
      <c r="E192" s="8" t="s">
        <v>29</v>
      </c>
      <c r="F192" s="8" t="s">
        <v>96</v>
      </c>
      <c r="G192" s="11">
        <v>0</v>
      </c>
      <c r="H192" s="11">
        <v>0.56746055645718996</v>
      </c>
      <c r="I192" s="11">
        <v>0.55256306869115623</v>
      </c>
      <c r="J192" s="11">
        <v>1.005496809016533</v>
      </c>
      <c r="K192" s="11">
        <v>27.609909695058061</v>
      </c>
      <c r="L192" s="11">
        <v>19.892928271907479</v>
      </c>
      <c r="M192" s="11">
        <v>96.565811989808935</v>
      </c>
    </row>
    <row r="193" spans="1:13" x14ac:dyDescent="0.25">
      <c r="A193" s="6">
        <v>8</v>
      </c>
      <c r="B193" s="6" t="s">
        <v>117</v>
      </c>
      <c r="C193" s="6" t="s">
        <v>300</v>
      </c>
      <c r="D193" s="6" t="s">
        <v>28</v>
      </c>
      <c r="E193" s="6" t="s">
        <v>29</v>
      </c>
      <c r="F193" s="6" t="s">
        <v>96</v>
      </c>
      <c r="G193" s="10">
        <v>0</v>
      </c>
      <c r="H193" s="10">
        <v>0.37366038708160421</v>
      </c>
      <c r="I193" s="10">
        <v>0.70152151256216355</v>
      </c>
      <c r="J193" s="10">
        <v>0</v>
      </c>
      <c r="K193" s="10">
        <v>37.607352721049807</v>
      </c>
      <c r="L193" s="10">
        <v>27.61065850344794</v>
      </c>
      <c r="M193" s="10">
        <v>81.51318776562465</v>
      </c>
    </row>
    <row r="194" spans="1:13" x14ac:dyDescent="0.25">
      <c r="A194" s="8">
        <v>8</v>
      </c>
      <c r="B194" s="8" t="s">
        <v>117</v>
      </c>
      <c r="C194" s="8" t="s">
        <v>301</v>
      </c>
      <c r="D194" s="8" t="s">
        <v>28</v>
      </c>
      <c r="E194" s="8" t="s">
        <v>29</v>
      </c>
      <c r="F194" s="8" t="s">
        <v>96</v>
      </c>
      <c r="G194" s="11">
        <v>0</v>
      </c>
      <c r="H194" s="11">
        <v>0.83987814360898194</v>
      </c>
      <c r="I194" s="11">
        <v>1.7979996304002079</v>
      </c>
      <c r="J194" s="11">
        <v>0.46558889600755871</v>
      </c>
      <c r="K194" s="11">
        <v>16.046588129687478</v>
      </c>
      <c r="L194" s="11">
        <v>16.779596658523619</v>
      </c>
      <c r="M194" s="11">
        <v>111.8050567661586</v>
      </c>
    </row>
    <row r="195" spans="1:13" x14ac:dyDescent="0.25">
      <c r="A195" s="6">
        <v>9</v>
      </c>
      <c r="B195" s="6" t="s">
        <v>121</v>
      </c>
      <c r="C195" s="6" t="s">
        <v>300</v>
      </c>
      <c r="D195" s="6" t="s">
        <v>28</v>
      </c>
      <c r="E195" s="6" t="s">
        <v>29</v>
      </c>
      <c r="F195" s="6" t="s">
        <v>96</v>
      </c>
      <c r="G195" s="10">
        <v>0</v>
      </c>
      <c r="H195" s="10">
        <v>0.47498370401507511</v>
      </c>
      <c r="I195" s="10">
        <v>0.57585003194744566</v>
      </c>
      <c r="J195" s="10">
        <v>0.62657519758941227</v>
      </c>
      <c r="K195" s="10">
        <v>45.772824782401209</v>
      </c>
      <c r="L195" s="10">
        <v>32.149418815464323</v>
      </c>
      <c r="M195" s="10">
        <v>73.935191620178145</v>
      </c>
    </row>
    <row r="196" spans="1:13" x14ac:dyDescent="0.25">
      <c r="A196" s="8">
        <v>9</v>
      </c>
      <c r="B196" s="8" t="s">
        <v>121</v>
      </c>
      <c r="C196" s="8" t="s">
        <v>301</v>
      </c>
      <c r="D196" s="8" t="s">
        <v>28</v>
      </c>
      <c r="E196" s="8" t="s">
        <v>29</v>
      </c>
      <c r="F196" s="8" t="s">
        <v>96</v>
      </c>
      <c r="G196" s="11">
        <v>0</v>
      </c>
      <c r="H196" s="11">
        <v>0.65269298090049266</v>
      </c>
      <c r="I196" s="11">
        <v>1.4671353884529701</v>
      </c>
      <c r="J196" s="11">
        <v>1.3169091629820999</v>
      </c>
      <c r="K196" s="11">
        <v>32.191335446084793</v>
      </c>
      <c r="L196" s="11">
        <v>24.26414905968165</v>
      </c>
      <c r="M196" s="11">
        <v>93.660439746609754</v>
      </c>
    </row>
    <row r="197" spans="1:13" x14ac:dyDescent="0.25">
      <c r="A197" s="6">
        <v>10</v>
      </c>
      <c r="B197" s="6" t="s">
        <v>126</v>
      </c>
      <c r="C197" s="6" t="s">
        <v>300</v>
      </c>
      <c r="D197" s="6" t="s">
        <v>28</v>
      </c>
      <c r="E197" s="6" t="s">
        <v>29</v>
      </c>
      <c r="F197" s="6" t="s">
        <v>96</v>
      </c>
      <c r="G197" s="10">
        <v>0</v>
      </c>
      <c r="H197" s="10">
        <v>0.59332623218911007</v>
      </c>
      <c r="I197" s="10">
        <v>0.50673195714436814</v>
      </c>
      <c r="J197" s="10">
        <v>0.17990784099446211</v>
      </c>
      <c r="K197" s="10">
        <v>45.789637948542399</v>
      </c>
      <c r="L197" s="10">
        <v>33.363070952937612</v>
      </c>
      <c r="M197" s="10">
        <v>67.975437349422975</v>
      </c>
    </row>
    <row r="198" spans="1:13" x14ac:dyDescent="0.25">
      <c r="A198" s="8">
        <v>10</v>
      </c>
      <c r="B198" s="8" t="s">
        <v>126</v>
      </c>
      <c r="C198" s="8" t="s">
        <v>301</v>
      </c>
      <c r="D198" s="8" t="s">
        <v>28</v>
      </c>
      <c r="E198" s="8" t="s">
        <v>29</v>
      </c>
      <c r="F198" s="8" t="s">
        <v>96</v>
      </c>
      <c r="G198" s="11">
        <v>0</v>
      </c>
      <c r="H198" s="11">
        <v>0.83987814360898194</v>
      </c>
      <c r="I198" s="11">
        <v>1.7979996304002079</v>
      </c>
      <c r="J198" s="11">
        <v>0.57590785271071809</v>
      </c>
      <c r="K198" s="11">
        <v>16.043682536598411</v>
      </c>
      <c r="L198" s="11">
        <v>16.779596658523619</v>
      </c>
      <c r="M198" s="11">
        <v>112.1322772301322</v>
      </c>
    </row>
    <row r="199" spans="1:13" x14ac:dyDescent="0.25">
      <c r="A199" s="6">
        <v>11</v>
      </c>
      <c r="B199" s="6" t="s">
        <v>129</v>
      </c>
      <c r="C199" s="6" t="s">
        <v>300</v>
      </c>
      <c r="D199" s="6" t="s">
        <v>28</v>
      </c>
      <c r="E199" s="6" t="s">
        <v>29</v>
      </c>
      <c r="F199" s="6" t="s">
        <v>130</v>
      </c>
      <c r="G199" s="10">
        <v>0</v>
      </c>
      <c r="H199" s="10">
        <v>1.3321013582624259</v>
      </c>
      <c r="I199" s="10">
        <v>0.75410540916294477</v>
      </c>
      <c r="J199" s="10">
        <v>0.43943113160824449</v>
      </c>
      <c r="K199" s="10">
        <v>42.768056236857731</v>
      </c>
      <c r="L199" s="10">
        <v>29.775024172432051</v>
      </c>
      <c r="M199" s="10">
        <v>68.609609149335569</v>
      </c>
    </row>
    <row r="200" spans="1:13" x14ac:dyDescent="0.25">
      <c r="A200" s="8">
        <v>11</v>
      </c>
      <c r="B200" s="8" t="s">
        <v>129</v>
      </c>
      <c r="C200" s="8" t="s">
        <v>301</v>
      </c>
      <c r="D200" s="8" t="s">
        <v>28</v>
      </c>
      <c r="E200" s="8" t="s">
        <v>29</v>
      </c>
      <c r="F200" s="8" t="s">
        <v>130</v>
      </c>
      <c r="G200" s="11">
        <v>0</v>
      </c>
      <c r="H200" s="11">
        <v>0.43407803900839542</v>
      </c>
      <c r="I200" s="11">
        <v>2.0389552164336071</v>
      </c>
      <c r="J200" s="11">
        <v>0.27011205530314503</v>
      </c>
      <c r="K200" s="11">
        <v>30.597979144685119</v>
      </c>
      <c r="L200" s="11">
        <v>25.113544257186629</v>
      </c>
      <c r="M200" s="11">
        <v>85.251434402970759</v>
      </c>
    </row>
    <row r="201" spans="1:13" x14ac:dyDescent="0.25">
      <c r="A201" s="6">
        <v>12</v>
      </c>
      <c r="B201" s="6" t="s">
        <v>136</v>
      </c>
      <c r="C201" s="6" t="s">
        <v>300</v>
      </c>
      <c r="D201" s="6" t="s">
        <v>28</v>
      </c>
      <c r="E201" s="6" t="s">
        <v>29</v>
      </c>
      <c r="F201" s="6" t="s">
        <v>130</v>
      </c>
      <c r="G201" s="10">
        <v>0</v>
      </c>
      <c r="H201" s="10">
        <v>0.9969610105345994</v>
      </c>
      <c r="I201" s="10">
        <v>0.70531249288605091</v>
      </c>
      <c r="J201" s="10">
        <v>0</v>
      </c>
      <c r="K201" s="10">
        <v>41.444028126689659</v>
      </c>
      <c r="L201" s="10">
        <v>29.143387878980331</v>
      </c>
      <c r="M201" s="10">
        <v>64.401008346932969</v>
      </c>
    </row>
    <row r="202" spans="1:13" x14ac:dyDescent="0.25">
      <c r="A202" s="8">
        <v>12</v>
      </c>
      <c r="B202" s="8" t="s">
        <v>136</v>
      </c>
      <c r="C202" s="8" t="s">
        <v>301</v>
      </c>
      <c r="D202" s="8" t="s">
        <v>28</v>
      </c>
      <c r="E202" s="8" t="s">
        <v>29</v>
      </c>
      <c r="F202" s="8" t="s">
        <v>130</v>
      </c>
      <c r="G202" s="11">
        <v>0</v>
      </c>
      <c r="H202" s="11">
        <v>0.11699904226004509</v>
      </c>
      <c r="I202" s="11">
        <v>0.96438076555850782</v>
      </c>
      <c r="J202" s="11">
        <v>0.77930295991607568</v>
      </c>
      <c r="K202" s="11">
        <v>36.712209444916184</v>
      </c>
      <c r="L202" s="11">
        <v>25.040527354235781</v>
      </c>
      <c r="M202" s="11">
        <v>74.293641117732662</v>
      </c>
    </row>
    <row r="203" spans="1:13" x14ac:dyDescent="0.25">
      <c r="A203" s="6">
        <v>13</v>
      </c>
      <c r="B203" s="6" t="s">
        <v>141</v>
      </c>
      <c r="C203" s="6" t="s">
        <v>300</v>
      </c>
      <c r="D203" s="6" t="s">
        <v>28</v>
      </c>
      <c r="E203" s="6" t="s">
        <v>29</v>
      </c>
      <c r="F203" s="6" t="s">
        <v>130</v>
      </c>
      <c r="G203" s="10">
        <v>0</v>
      </c>
      <c r="H203" s="10">
        <v>0.5585488688475958</v>
      </c>
      <c r="I203" s="10">
        <v>1.1280191553248591</v>
      </c>
      <c r="J203" s="10">
        <v>0.85257026986061224</v>
      </c>
      <c r="K203" s="10">
        <v>43.558503820487473</v>
      </c>
      <c r="L203" s="10">
        <v>32.438943986672427</v>
      </c>
      <c r="M203" s="10">
        <v>66.332492528405481</v>
      </c>
    </row>
    <row r="204" spans="1:13" x14ac:dyDescent="0.25">
      <c r="A204" s="8">
        <v>13</v>
      </c>
      <c r="B204" s="8" t="s">
        <v>141</v>
      </c>
      <c r="C204" s="8" t="s">
        <v>301</v>
      </c>
      <c r="D204" s="8" t="s">
        <v>28</v>
      </c>
      <c r="E204" s="8" t="s">
        <v>29</v>
      </c>
      <c r="F204" s="8" t="s">
        <v>130</v>
      </c>
      <c r="G204" s="11">
        <v>0</v>
      </c>
      <c r="H204" s="11">
        <v>0.43407803900839542</v>
      </c>
      <c r="I204" s="11">
        <v>2.0574693428543021</v>
      </c>
      <c r="J204" s="11">
        <v>0.27011205530314503</v>
      </c>
      <c r="K204" s="11">
        <v>30.597979144685119</v>
      </c>
      <c r="L204" s="11">
        <v>25.113544257186629</v>
      </c>
      <c r="M204" s="11">
        <v>85.251487097446585</v>
      </c>
    </row>
    <row r="205" spans="1:13" x14ac:dyDescent="0.25">
      <c r="A205" s="6">
        <v>14</v>
      </c>
      <c r="B205" s="6" t="s">
        <v>144</v>
      </c>
      <c r="C205" s="6" t="s">
        <v>300</v>
      </c>
      <c r="D205" s="6" t="s">
        <v>28</v>
      </c>
      <c r="E205" s="6" t="s">
        <v>29</v>
      </c>
      <c r="F205" s="6" t="s">
        <v>130</v>
      </c>
      <c r="G205" s="10">
        <v>0</v>
      </c>
      <c r="H205" s="10">
        <v>1.156478673390982</v>
      </c>
      <c r="I205" s="10">
        <v>0.51635952825814069</v>
      </c>
      <c r="J205" s="10">
        <v>0.43943113160824449</v>
      </c>
      <c r="K205" s="10">
        <v>35.860322802540047</v>
      </c>
      <c r="L205" s="10">
        <v>24.93604446973648</v>
      </c>
      <c r="M205" s="10">
        <v>61.009959080237223</v>
      </c>
    </row>
    <row r="206" spans="1:13" x14ac:dyDescent="0.25">
      <c r="A206" s="8">
        <v>14</v>
      </c>
      <c r="B206" s="8" t="s">
        <v>144</v>
      </c>
      <c r="C206" s="8" t="s">
        <v>301</v>
      </c>
      <c r="D206" s="8" t="s">
        <v>28</v>
      </c>
      <c r="E206" s="8" t="s">
        <v>29</v>
      </c>
      <c r="F206" s="8" t="s">
        <v>130</v>
      </c>
      <c r="G206" s="11">
        <v>0</v>
      </c>
      <c r="H206" s="11">
        <v>0.1090721560237224</v>
      </c>
      <c r="I206" s="11">
        <v>0.83852134333277595</v>
      </c>
      <c r="J206" s="11">
        <v>0</v>
      </c>
      <c r="K206" s="11">
        <v>28.213201619757211</v>
      </c>
      <c r="L206" s="11">
        <v>20.93633895165053</v>
      </c>
      <c r="M206" s="11">
        <v>73.844802002142799</v>
      </c>
    </row>
    <row r="207" spans="1:13" x14ac:dyDescent="0.25">
      <c r="A207" s="6">
        <v>15</v>
      </c>
      <c r="B207" s="6" t="s">
        <v>150</v>
      </c>
      <c r="C207" s="6" t="s">
        <v>300</v>
      </c>
      <c r="D207" s="6" t="s">
        <v>28</v>
      </c>
      <c r="E207" s="6" t="s">
        <v>29</v>
      </c>
      <c r="F207" s="6" t="s">
        <v>130</v>
      </c>
      <c r="G207" s="10">
        <v>0</v>
      </c>
      <c r="H207" s="10">
        <v>0.52166162348455802</v>
      </c>
      <c r="I207" s="10">
        <v>0.55895774646599539</v>
      </c>
      <c r="J207" s="10">
        <v>0.35482326921949731</v>
      </c>
      <c r="K207" s="10">
        <v>43.320905108620543</v>
      </c>
      <c r="L207" s="10">
        <v>28.28601681705657</v>
      </c>
      <c r="M207" s="10">
        <v>70.673195048294886</v>
      </c>
    </row>
    <row r="208" spans="1:13" x14ac:dyDescent="0.25">
      <c r="A208" s="8">
        <v>15</v>
      </c>
      <c r="B208" s="8" t="s">
        <v>150</v>
      </c>
      <c r="C208" s="8" t="s">
        <v>301</v>
      </c>
      <c r="D208" s="8" t="s">
        <v>28</v>
      </c>
      <c r="E208" s="8" t="s">
        <v>29</v>
      </c>
      <c r="F208" s="8" t="s">
        <v>130</v>
      </c>
      <c r="G208" s="11">
        <v>0</v>
      </c>
      <c r="H208" s="11">
        <v>0.43407803900839542</v>
      </c>
      <c r="I208" s="11">
        <v>2.0373023196522468</v>
      </c>
      <c r="J208" s="11">
        <v>0.27011205530314503</v>
      </c>
      <c r="K208" s="11">
        <v>30.597979144685119</v>
      </c>
      <c r="L208" s="11">
        <v>25.113544257186629</v>
      </c>
      <c r="M208" s="11">
        <v>85.249995172615314</v>
      </c>
    </row>
    <row r="209" spans="1:13" x14ac:dyDescent="0.25">
      <c r="A209" s="6">
        <v>16</v>
      </c>
      <c r="B209" s="6" t="s">
        <v>153</v>
      </c>
      <c r="C209" s="6" t="s">
        <v>300</v>
      </c>
      <c r="D209" s="6" t="s">
        <v>28</v>
      </c>
      <c r="E209" s="6" t="s">
        <v>29</v>
      </c>
      <c r="F209" s="6" t="s">
        <v>130</v>
      </c>
      <c r="G209" s="10">
        <v>0</v>
      </c>
      <c r="H209" s="10">
        <v>1.349334550099321</v>
      </c>
      <c r="I209" s="10">
        <v>0.85626343374075942</v>
      </c>
      <c r="J209" s="10">
        <v>0.6700482500107362</v>
      </c>
      <c r="K209" s="10">
        <v>44.025744768194123</v>
      </c>
      <c r="L209" s="10">
        <v>31.17572674470658</v>
      </c>
      <c r="M209" s="10">
        <v>74.16217403535677</v>
      </c>
    </row>
    <row r="210" spans="1:13" x14ac:dyDescent="0.25">
      <c r="A210" s="8">
        <v>16</v>
      </c>
      <c r="B210" s="8" t="s">
        <v>153</v>
      </c>
      <c r="C210" s="8" t="s">
        <v>301</v>
      </c>
      <c r="D210" s="8" t="s">
        <v>28</v>
      </c>
      <c r="E210" s="8" t="s">
        <v>29</v>
      </c>
      <c r="F210" s="8" t="s">
        <v>130</v>
      </c>
      <c r="G210" s="11">
        <v>0</v>
      </c>
      <c r="H210" s="11">
        <v>0.32294108699012902</v>
      </c>
      <c r="I210" s="11">
        <v>0.5256426997626461</v>
      </c>
      <c r="J210" s="11">
        <v>1.2222826160609359</v>
      </c>
      <c r="K210" s="11">
        <v>30.18268163700424</v>
      </c>
      <c r="L210" s="11">
        <v>24.79776882222491</v>
      </c>
      <c r="M210" s="11">
        <v>96.896273385660237</v>
      </c>
    </row>
    <row r="211" spans="1:13" x14ac:dyDescent="0.25">
      <c r="A211" s="6">
        <v>17</v>
      </c>
      <c r="B211" s="6" t="s">
        <v>158</v>
      </c>
      <c r="C211" s="6" t="s">
        <v>300</v>
      </c>
      <c r="D211" s="6" t="s">
        <v>28</v>
      </c>
      <c r="E211" s="6" t="s">
        <v>29</v>
      </c>
      <c r="F211" s="6" t="s">
        <v>130</v>
      </c>
      <c r="G211" s="10">
        <v>0</v>
      </c>
      <c r="H211" s="10">
        <v>0.1862366457606098</v>
      </c>
      <c r="I211" s="10">
        <v>0.28644165794522208</v>
      </c>
      <c r="J211" s="10">
        <v>0.30638082516478932</v>
      </c>
      <c r="K211" s="10">
        <v>51.040210715733267</v>
      </c>
      <c r="L211" s="10">
        <v>36.752369717980088</v>
      </c>
      <c r="M211" s="10">
        <v>57.027122505769483</v>
      </c>
    </row>
    <row r="212" spans="1:13" x14ac:dyDescent="0.25">
      <c r="A212" s="8">
        <v>17</v>
      </c>
      <c r="B212" s="8" t="s">
        <v>158</v>
      </c>
      <c r="C212" s="8" t="s">
        <v>301</v>
      </c>
      <c r="D212" s="8" t="s">
        <v>28</v>
      </c>
      <c r="E212" s="8" t="s">
        <v>29</v>
      </c>
      <c r="F212" s="8" t="s">
        <v>130</v>
      </c>
      <c r="G212" s="11">
        <v>0</v>
      </c>
      <c r="H212" s="11">
        <v>0.43407803900839542</v>
      </c>
      <c r="I212" s="11">
        <v>2.031482381418694</v>
      </c>
      <c r="J212" s="11">
        <v>0.27011205530314503</v>
      </c>
      <c r="K212" s="11">
        <v>30.597979144685119</v>
      </c>
      <c r="L212" s="11">
        <v>25.113544257186629</v>
      </c>
      <c r="M212" s="11">
        <v>85.372241243471635</v>
      </c>
    </row>
    <row r="213" spans="1:13" x14ac:dyDescent="0.25">
      <c r="A213" s="6">
        <v>18</v>
      </c>
      <c r="B213" s="6" t="s">
        <v>162</v>
      </c>
      <c r="C213" s="6" t="s">
        <v>300</v>
      </c>
      <c r="D213" s="6" t="s">
        <v>28</v>
      </c>
      <c r="E213" s="6" t="s">
        <v>29</v>
      </c>
      <c r="F213" s="6" t="s">
        <v>96</v>
      </c>
      <c r="G213" s="10">
        <v>0</v>
      </c>
      <c r="H213" s="10">
        <v>0.38306581509713777</v>
      </c>
      <c r="I213" s="10">
        <v>2.078327234216284</v>
      </c>
      <c r="J213" s="10">
        <v>0.20461421027387261</v>
      </c>
      <c r="K213" s="10">
        <v>36.808470594235978</v>
      </c>
      <c r="L213" s="10">
        <v>24.895439135578741</v>
      </c>
      <c r="M213" s="10">
        <v>77.229137978621239</v>
      </c>
    </row>
    <row r="214" spans="1:13" x14ac:dyDescent="0.25">
      <c r="A214" s="8">
        <v>18</v>
      </c>
      <c r="B214" s="8" t="s">
        <v>162</v>
      </c>
      <c r="C214" s="8" t="s">
        <v>301</v>
      </c>
      <c r="D214" s="8" t="s">
        <v>28</v>
      </c>
      <c r="E214" s="8" t="s">
        <v>29</v>
      </c>
      <c r="F214" s="8" t="s">
        <v>96</v>
      </c>
      <c r="G214" s="11">
        <v>0</v>
      </c>
      <c r="H214" s="11">
        <v>0.22156090055420241</v>
      </c>
      <c r="I214" s="11">
        <v>0</v>
      </c>
      <c r="J214" s="11">
        <v>0.11647473715777031</v>
      </c>
      <c r="K214" s="11">
        <v>21.52025885865341</v>
      </c>
      <c r="L214" s="11">
        <v>17.069852156212249</v>
      </c>
      <c r="M214" s="11">
        <v>102.738159054381</v>
      </c>
    </row>
    <row r="215" spans="1:13" x14ac:dyDescent="0.25">
      <c r="A215" s="6">
        <v>19</v>
      </c>
      <c r="B215" s="6" t="s">
        <v>165</v>
      </c>
      <c r="C215" s="6" t="s">
        <v>300</v>
      </c>
      <c r="D215" s="6" t="s">
        <v>28</v>
      </c>
      <c r="E215" s="6" t="s">
        <v>29</v>
      </c>
      <c r="F215" s="6" t="s">
        <v>96</v>
      </c>
      <c r="G215" s="10">
        <v>0</v>
      </c>
      <c r="H215" s="10">
        <v>0.38306581509713777</v>
      </c>
      <c r="I215" s="10">
        <v>2.1897722900283969</v>
      </c>
      <c r="J215" s="10">
        <v>0.27392076034226231</v>
      </c>
      <c r="K215" s="10">
        <v>38.075352356880842</v>
      </c>
      <c r="L215" s="10">
        <v>25.722958107605791</v>
      </c>
      <c r="M215" s="10">
        <v>79.472710896771332</v>
      </c>
    </row>
    <row r="216" spans="1:13" x14ac:dyDescent="0.25">
      <c r="A216" s="8">
        <v>19</v>
      </c>
      <c r="B216" s="8" t="s">
        <v>165</v>
      </c>
      <c r="C216" s="8" t="s">
        <v>301</v>
      </c>
      <c r="D216" s="8" t="s">
        <v>28</v>
      </c>
      <c r="E216" s="8" t="s">
        <v>29</v>
      </c>
      <c r="F216" s="8" t="s">
        <v>96</v>
      </c>
      <c r="G216" s="11">
        <v>0</v>
      </c>
      <c r="H216" s="11">
        <v>0.57197412560405814</v>
      </c>
      <c r="I216" s="11">
        <v>0.55256306869115623</v>
      </c>
      <c r="J216" s="11">
        <v>1.033360466311896</v>
      </c>
      <c r="K216" s="11">
        <v>27.609909695058061</v>
      </c>
      <c r="L216" s="11">
        <v>19.892928271907479</v>
      </c>
      <c r="M216" s="11">
        <v>96.565811989808935</v>
      </c>
    </row>
    <row r="217" spans="1:13" x14ac:dyDescent="0.25">
      <c r="A217" s="6">
        <v>20</v>
      </c>
      <c r="B217" s="6" t="s">
        <v>168</v>
      </c>
      <c r="C217" s="6" t="s">
        <v>300</v>
      </c>
      <c r="D217" s="6" t="s">
        <v>28</v>
      </c>
      <c r="E217" s="6" t="s">
        <v>29</v>
      </c>
      <c r="F217" s="6" t="s">
        <v>96</v>
      </c>
      <c r="G217" s="10">
        <v>0</v>
      </c>
      <c r="H217" s="10">
        <v>0.25917593164792052</v>
      </c>
      <c r="I217" s="10">
        <v>0.71970849070423348</v>
      </c>
      <c r="J217" s="10">
        <v>0</v>
      </c>
      <c r="K217" s="10">
        <v>36.700109732675372</v>
      </c>
      <c r="L217" s="10">
        <v>27.29337511764809</v>
      </c>
      <c r="M217" s="10">
        <v>76.745440672119003</v>
      </c>
    </row>
    <row r="218" spans="1:13" x14ac:dyDescent="0.25">
      <c r="A218" s="8">
        <v>20</v>
      </c>
      <c r="B218" s="8" t="s">
        <v>168</v>
      </c>
      <c r="C218" s="8" t="s">
        <v>301</v>
      </c>
      <c r="D218" s="8" t="s">
        <v>28</v>
      </c>
      <c r="E218" s="8" t="s">
        <v>29</v>
      </c>
      <c r="F218" s="8" t="s">
        <v>96</v>
      </c>
      <c r="G218" s="11">
        <v>0</v>
      </c>
      <c r="H218" s="11">
        <v>0.22156090055420241</v>
      </c>
      <c r="I218" s="11">
        <v>0</v>
      </c>
      <c r="J218" s="11">
        <v>0.11647473715777031</v>
      </c>
      <c r="K218" s="11">
        <v>21.563271544616299</v>
      </c>
      <c r="L218" s="11">
        <v>17.074263189728988</v>
      </c>
      <c r="M218" s="11">
        <v>102.738159054381</v>
      </c>
    </row>
    <row r="219" spans="1:13" x14ac:dyDescent="0.25">
      <c r="A219" s="6">
        <v>21</v>
      </c>
      <c r="B219" s="6" t="s">
        <v>171</v>
      </c>
      <c r="C219" s="6" t="s">
        <v>300</v>
      </c>
      <c r="D219" s="6" t="s">
        <v>28</v>
      </c>
      <c r="E219" s="6" t="s">
        <v>29</v>
      </c>
      <c r="F219" s="6" t="s">
        <v>96</v>
      </c>
      <c r="G219" s="10">
        <v>0</v>
      </c>
      <c r="H219" s="10">
        <v>0.38306581509713777</v>
      </c>
      <c r="I219" s="10">
        <v>2.3834357776949719</v>
      </c>
      <c r="J219" s="10">
        <v>0.20461421027387261</v>
      </c>
      <c r="K219" s="10">
        <v>40.286147423309231</v>
      </c>
      <c r="L219" s="10">
        <v>27.901828734973211</v>
      </c>
      <c r="M219" s="10">
        <v>82.42120168353226</v>
      </c>
    </row>
    <row r="220" spans="1:13" x14ac:dyDescent="0.25">
      <c r="A220" s="8">
        <v>21</v>
      </c>
      <c r="B220" s="8" t="s">
        <v>171</v>
      </c>
      <c r="C220" s="8" t="s">
        <v>301</v>
      </c>
      <c r="D220" s="8" t="s">
        <v>28</v>
      </c>
      <c r="E220" s="8" t="s">
        <v>29</v>
      </c>
      <c r="F220" s="8" t="s">
        <v>96</v>
      </c>
      <c r="G220" s="11">
        <v>0</v>
      </c>
      <c r="H220" s="11">
        <v>0.65269298090049266</v>
      </c>
      <c r="I220" s="11">
        <v>1.4671353884529701</v>
      </c>
      <c r="J220" s="11">
        <v>1.3169091629820999</v>
      </c>
      <c r="K220" s="11">
        <v>32.226640796549887</v>
      </c>
      <c r="L220" s="11">
        <v>24.26414905968165</v>
      </c>
      <c r="M220" s="11">
        <v>93.660508823399397</v>
      </c>
    </row>
    <row r="221" spans="1:13" x14ac:dyDescent="0.25">
      <c r="A221" s="6">
        <v>22</v>
      </c>
      <c r="B221" s="6" t="s">
        <v>173</v>
      </c>
      <c r="C221" s="6" t="s">
        <v>300</v>
      </c>
      <c r="D221" s="6" t="s">
        <v>28</v>
      </c>
      <c r="E221" s="6" t="s">
        <v>29</v>
      </c>
      <c r="F221" s="6" t="s">
        <v>96</v>
      </c>
      <c r="G221" s="10">
        <v>0</v>
      </c>
      <c r="H221" s="10">
        <v>0.48442489010916312</v>
      </c>
      <c r="I221" s="10">
        <v>0.3753728936893338</v>
      </c>
      <c r="J221" s="10">
        <v>0.18567692695020599</v>
      </c>
      <c r="K221" s="10">
        <v>43.705091986944623</v>
      </c>
      <c r="L221" s="10">
        <v>31.31100557837641</v>
      </c>
      <c r="M221" s="10">
        <v>65.770164610094071</v>
      </c>
    </row>
    <row r="222" spans="1:13" x14ac:dyDescent="0.25">
      <c r="A222" s="8">
        <v>22</v>
      </c>
      <c r="B222" s="8" t="s">
        <v>173</v>
      </c>
      <c r="C222" s="8" t="s">
        <v>301</v>
      </c>
      <c r="D222" s="8" t="s">
        <v>28</v>
      </c>
      <c r="E222" s="8" t="s">
        <v>29</v>
      </c>
      <c r="F222" s="8" t="s">
        <v>96</v>
      </c>
      <c r="G222" s="11">
        <v>0</v>
      </c>
      <c r="H222" s="11">
        <v>0.22156090055420241</v>
      </c>
      <c r="I222" s="11">
        <v>0</v>
      </c>
      <c r="J222" s="11">
        <v>0.11647473715777031</v>
      </c>
      <c r="K222" s="11">
        <v>21.5665214603954</v>
      </c>
      <c r="L222" s="11">
        <v>17.030681899116161</v>
      </c>
      <c r="M222" s="11">
        <v>102.738159054381</v>
      </c>
    </row>
    <row r="223" spans="1:13" x14ac:dyDescent="0.25">
      <c r="A223" s="6">
        <v>23</v>
      </c>
      <c r="B223" s="6" t="s">
        <v>176</v>
      </c>
      <c r="C223" s="6" t="s">
        <v>300</v>
      </c>
      <c r="D223" s="6" t="s">
        <v>28</v>
      </c>
      <c r="E223" s="6" t="s">
        <v>29</v>
      </c>
      <c r="F223" s="6" t="s">
        <v>130</v>
      </c>
      <c r="G223" s="10">
        <v>0</v>
      </c>
      <c r="H223" s="10">
        <v>0.34290254186703961</v>
      </c>
      <c r="I223" s="10">
        <v>1.0454776733830049</v>
      </c>
      <c r="J223" s="10">
        <v>0.40432001006129498</v>
      </c>
      <c r="K223" s="10">
        <v>41.471081570571563</v>
      </c>
      <c r="L223" s="10">
        <v>30.614880435193118</v>
      </c>
      <c r="M223" s="10">
        <v>63.969189047693213</v>
      </c>
    </row>
    <row r="224" spans="1:13" x14ac:dyDescent="0.25">
      <c r="A224" s="8">
        <v>23</v>
      </c>
      <c r="B224" s="8" t="s">
        <v>176</v>
      </c>
      <c r="C224" s="8" t="s">
        <v>301</v>
      </c>
      <c r="D224" s="8" t="s">
        <v>28</v>
      </c>
      <c r="E224" s="8" t="s">
        <v>29</v>
      </c>
      <c r="F224" s="8" t="s">
        <v>130</v>
      </c>
      <c r="G224" s="11">
        <v>0</v>
      </c>
      <c r="H224" s="11">
        <v>0.11699904226004509</v>
      </c>
      <c r="I224" s="11">
        <v>0.98289890323061291</v>
      </c>
      <c r="J224" s="11">
        <v>0.76496157447860036</v>
      </c>
      <c r="K224" s="11">
        <v>36.712209444916184</v>
      </c>
      <c r="L224" s="11">
        <v>25.040527354235781</v>
      </c>
      <c r="M224" s="11">
        <v>74.293641117732662</v>
      </c>
    </row>
    <row r="225" spans="1:13" x14ac:dyDescent="0.25">
      <c r="A225" s="6">
        <v>24</v>
      </c>
      <c r="B225" s="6" t="s">
        <v>178</v>
      </c>
      <c r="C225" s="6" t="s">
        <v>300</v>
      </c>
      <c r="D225" s="6" t="s">
        <v>28</v>
      </c>
      <c r="E225" s="6" t="s">
        <v>29</v>
      </c>
      <c r="F225" s="6" t="s">
        <v>130</v>
      </c>
      <c r="G225" s="10">
        <v>0</v>
      </c>
      <c r="H225" s="10">
        <v>0.43287959154678851</v>
      </c>
      <c r="I225" s="10">
        <v>0.5147545761381157</v>
      </c>
      <c r="J225" s="10">
        <v>0.73819242016004771</v>
      </c>
      <c r="K225" s="10">
        <v>38.040822350023817</v>
      </c>
      <c r="L225" s="10">
        <v>28.349735048175351</v>
      </c>
      <c r="M225" s="10">
        <v>56.945127768261933</v>
      </c>
    </row>
    <row r="226" spans="1:13" x14ac:dyDescent="0.25">
      <c r="A226" s="8">
        <v>24</v>
      </c>
      <c r="B226" s="8" t="s">
        <v>178</v>
      </c>
      <c r="C226" s="8" t="s">
        <v>301</v>
      </c>
      <c r="D226" s="8" t="s">
        <v>28</v>
      </c>
      <c r="E226" s="8" t="s">
        <v>29</v>
      </c>
      <c r="F226" s="8" t="s">
        <v>130</v>
      </c>
      <c r="G226" s="11">
        <v>0</v>
      </c>
      <c r="H226" s="11">
        <v>0.1090721560237224</v>
      </c>
      <c r="I226" s="11">
        <v>0.87722495457012495</v>
      </c>
      <c r="J226" s="11">
        <v>0</v>
      </c>
      <c r="K226" s="11">
        <v>28.213201619757211</v>
      </c>
      <c r="L226" s="11">
        <v>20.93633895165053</v>
      </c>
      <c r="M226" s="11">
        <v>73.751298912570178</v>
      </c>
    </row>
    <row r="227" spans="1:13" x14ac:dyDescent="0.25">
      <c r="A227" s="6">
        <v>25</v>
      </c>
      <c r="B227" s="6" t="s">
        <v>181</v>
      </c>
      <c r="C227" s="6" t="s">
        <v>300</v>
      </c>
      <c r="D227" s="6" t="s">
        <v>28</v>
      </c>
      <c r="E227" s="6" t="s">
        <v>29</v>
      </c>
      <c r="F227" s="6" t="s">
        <v>130</v>
      </c>
      <c r="G227" s="10">
        <v>0</v>
      </c>
      <c r="H227" s="10">
        <v>0.19263724537963819</v>
      </c>
      <c r="I227" s="10">
        <v>0.55895774646599539</v>
      </c>
      <c r="J227" s="10">
        <v>0.1091649650425091</v>
      </c>
      <c r="K227" s="10">
        <v>41.384212685216482</v>
      </c>
      <c r="L227" s="10">
        <v>26.988321053442991</v>
      </c>
      <c r="M227" s="10">
        <v>67.483594884180178</v>
      </c>
    </row>
    <row r="228" spans="1:13" x14ac:dyDescent="0.25">
      <c r="A228" s="8">
        <v>25</v>
      </c>
      <c r="B228" s="8" t="s">
        <v>181</v>
      </c>
      <c r="C228" s="8" t="s">
        <v>301</v>
      </c>
      <c r="D228" s="8" t="s">
        <v>28</v>
      </c>
      <c r="E228" s="8" t="s">
        <v>29</v>
      </c>
      <c r="F228" s="8" t="s">
        <v>130</v>
      </c>
      <c r="G228" s="11">
        <v>0</v>
      </c>
      <c r="H228" s="11">
        <v>0.11699904226004509</v>
      </c>
      <c r="I228" s="11">
        <v>0.96270223906633912</v>
      </c>
      <c r="J228" s="11">
        <v>0.78217538796692843</v>
      </c>
      <c r="K228" s="11">
        <v>36.712209444916184</v>
      </c>
      <c r="L228" s="11">
        <v>25.040527354235781</v>
      </c>
      <c r="M228" s="11">
        <v>74.293641117732662</v>
      </c>
    </row>
    <row r="229" spans="1:13" x14ac:dyDescent="0.25">
      <c r="A229" s="6">
        <v>26</v>
      </c>
      <c r="B229" s="6" t="s">
        <v>183</v>
      </c>
      <c r="C229" s="6" t="s">
        <v>300</v>
      </c>
      <c r="D229" s="6" t="s">
        <v>28</v>
      </c>
      <c r="E229" s="6" t="s">
        <v>29</v>
      </c>
      <c r="F229" s="6" t="s">
        <v>130</v>
      </c>
      <c r="G229" s="10">
        <v>0</v>
      </c>
      <c r="H229" s="10">
        <v>0.5585488688475958</v>
      </c>
      <c r="I229" s="10">
        <v>1.3470620501331301</v>
      </c>
      <c r="J229" s="10">
        <v>1.1588950583343161</v>
      </c>
      <c r="K229" s="10">
        <v>45.26405758465819</v>
      </c>
      <c r="L229" s="10">
        <v>33.585180420899938</v>
      </c>
      <c r="M229" s="10">
        <v>71.459183582966247</v>
      </c>
    </row>
    <row r="230" spans="1:13" x14ac:dyDescent="0.25">
      <c r="A230" s="8">
        <v>26</v>
      </c>
      <c r="B230" s="8" t="s">
        <v>183</v>
      </c>
      <c r="C230" s="8" t="s">
        <v>301</v>
      </c>
      <c r="D230" s="8" t="s">
        <v>28</v>
      </c>
      <c r="E230" s="8" t="s">
        <v>29</v>
      </c>
      <c r="F230" s="8" t="s">
        <v>130</v>
      </c>
      <c r="G230" s="11">
        <v>0</v>
      </c>
      <c r="H230" s="11">
        <v>0.34145817954491431</v>
      </c>
      <c r="I230" s="11">
        <v>0.5256426997626461</v>
      </c>
      <c r="J230" s="11">
        <v>1.2222826160609359</v>
      </c>
      <c r="K230" s="11">
        <v>30.18268163700424</v>
      </c>
      <c r="L230" s="11">
        <v>24.888619369878651</v>
      </c>
      <c r="M230" s="11">
        <v>96.902750674201656</v>
      </c>
    </row>
    <row r="231" spans="1:13" x14ac:dyDescent="0.25">
      <c r="A231" s="6">
        <v>27</v>
      </c>
      <c r="B231" s="6" t="s">
        <v>186</v>
      </c>
      <c r="C231" s="6" t="s">
        <v>300</v>
      </c>
      <c r="D231" s="6" t="s">
        <v>28</v>
      </c>
      <c r="E231" s="6" t="s">
        <v>29</v>
      </c>
      <c r="F231" s="6" t="s">
        <v>130</v>
      </c>
      <c r="G231" s="10">
        <v>0</v>
      </c>
      <c r="H231" s="10">
        <v>0.1769495542483206</v>
      </c>
      <c r="I231" s="10">
        <v>0.28644165794522208</v>
      </c>
      <c r="J231" s="10">
        <v>0.23768555241039721</v>
      </c>
      <c r="K231" s="10">
        <v>48.513466786391881</v>
      </c>
      <c r="L231" s="10">
        <v>34.664168060301797</v>
      </c>
      <c r="M231" s="10">
        <v>54.415752988771978</v>
      </c>
    </row>
    <row r="232" spans="1:13" x14ac:dyDescent="0.25">
      <c r="A232" s="8">
        <v>27</v>
      </c>
      <c r="B232" s="8" t="s">
        <v>186</v>
      </c>
      <c r="C232" s="8" t="s">
        <v>301</v>
      </c>
      <c r="D232" s="8" t="s">
        <v>28</v>
      </c>
      <c r="E232" s="8" t="s">
        <v>29</v>
      </c>
      <c r="F232" s="8" t="s">
        <v>130</v>
      </c>
      <c r="G232" s="11">
        <v>0</v>
      </c>
      <c r="H232" s="11">
        <v>0.11699904226004509</v>
      </c>
      <c r="I232" s="11">
        <v>0.95688081818818838</v>
      </c>
      <c r="J232" s="11">
        <v>0.74908888986193567</v>
      </c>
      <c r="K232" s="11">
        <v>36.712209444916184</v>
      </c>
      <c r="L232" s="11">
        <v>25.040527354235781</v>
      </c>
      <c r="M232" s="11">
        <v>74.293641117732662</v>
      </c>
    </row>
    <row r="233" spans="1:13" x14ac:dyDescent="0.25">
      <c r="A233" s="6">
        <v>28</v>
      </c>
      <c r="B233" s="6" t="s">
        <v>188</v>
      </c>
      <c r="C233" s="6" t="s">
        <v>300</v>
      </c>
      <c r="D233" s="6" t="s">
        <v>28</v>
      </c>
      <c r="E233" s="6" t="s">
        <v>29</v>
      </c>
      <c r="F233" s="6" t="s">
        <v>96</v>
      </c>
      <c r="G233" s="10">
        <v>0</v>
      </c>
      <c r="H233" s="10">
        <v>0.25917593164792052</v>
      </c>
      <c r="I233" s="10">
        <v>0.70863313939923567</v>
      </c>
      <c r="J233" s="10">
        <v>0</v>
      </c>
      <c r="K233" s="10">
        <v>37.603304668082593</v>
      </c>
      <c r="L233" s="10">
        <v>27.74280476419689</v>
      </c>
      <c r="M233" s="10">
        <v>79.592523770954102</v>
      </c>
    </row>
    <row r="234" spans="1:13" x14ac:dyDescent="0.25">
      <c r="A234" s="8">
        <v>28</v>
      </c>
      <c r="B234" s="8" t="s">
        <v>188</v>
      </c>
      <c r="C234" s="8" t="s">
        <v>301</v>
      </c>
      <c r="D234" s="8" t="s">
        <v>28</v>
      </c>
      <c r="E234" s="8" t="s">
        <v>29</v>
      </c>
      <c r="F234" s="8" t="s">
        <v>96</v>
      </c>
      <c r="G234" s="11">
        <v>0</v>
      </c>
      <c r="H234" s="11">
        <v>0.54905123843358739</v>
      </c>
      <c r="I234" s="11">
        <v>0.55256306869115623</v>
      </c>
      <c r="J234" s="11">
        <v>0.82406643556007364</v>
      </c>
      <c r="K234" s="11">
        <v>27.609909695058061</v>
      </c>
      <c r="L234" s="11">
        <v>19.892928271907479</v>
      </c>
      <c r="M234" s="11">
        <v>96.565811989808935</v>
      </c>
    </row>
    <row r="235" spans="1:13" x14ac:dyDescent="0.25">
      <c r="A235" s="6">
        <v>29</v>
      </c>
      <c r="B235" s="6" t="s">
        <v>192</v>
      </c>
      <c r="C235" s="6" t="s">
        <v>300</v>
      </c>
      <c r="D235" s="6" t="s">
        <v>28</v>
      </c>
      <c r="E235" s="6" t="s">
        <v>29</v>
      </c>
      <c r="F235" s="6" t="s">
        <v>96</v>
      </c>
      <c r="G235" s="10">
        <v>0</v>
      </c>
      <c r="H235" s="10">
        <v>0.37366038708160421</v>
      </c>
      <c r="I235" s="10">
        <v>0.81249600997082738</v>
      </c>
      <c r="J235" s="10">
        <v>0</v>
      </c>
      <c r="K235" s="10">
        <v>37.762458193898382</v>
      </c>
      <c r="L235" s="10">
        <v>27.857434291214389</v>
      </c>
      <c r="M235" s="10">
        <v>81.812407450945699</v>
      </c>
    </row>
    <row r="236" spans="1:13" x14ac:dyDescent="0.25">
      <c r="A236" s="8">
        <v>29</v>
      </c>
      <c r="B236" s="8" t="s">
        <v>192</v>
      </c>
      <c r="C236" s="8" t="s">
        <v>301</v>
      </c>
      <c r="D236" s="8" t="s">
        <v>28</v>
      </c>
      <c r="E236" s="8" t="s">
        <v>29</v>
      </c>
      <c r="F236" s="8" t="s">
        <v>96</v>
      </c>
      <c r="G236" s="11">
        <v>0</v>
      </c>
      <c r="H236" s="11">
        <v>0.65269298090049266</v>
      </c>
      <c r="I236" s="11">
        <v>1.2528480982183561</v>
      </c>
      <c r="J236" s="11">
        <v>1.149895932972568</v>
      </c>
      <c r="K236" s="11">
        <v>30.80621122533811</v>
      </c>
      <c r="L236" s="11">
        <v>23.37216669639708</v>
      </c>
      <c r="M236" s="11">
        <v>91.318408228731826</v>
      </c>
    </row>
    <row r="237" spans="1:13" x14ac:dyDescent="0.25">
      <c r="A237" s="6">
        <v>30</v>
      </c>
      <c r="B237" s="6" t="s">
        <v>194</v>
      </c>
      <c r="C237" s="6" t="s">
        <v>300</v>
      </c>
      <c r="D237" s="6" t="s">
        <v>28</v>
      </c>
      <c r="E237" s="6" t="s">
        <v>29</v>
      </c>
      <c r="F237" s="6" t="s">
        <v>96</v>
      </c>
      <c r="G237" s="10">
        <v>0</v>
      </c>
      <c r="H237" s="10">
        <v>0.69927270070112768</v>
      </c>
      <c r="I237" s="10">
        <v>0.46628567792614323</v>
      </c>
      <c r="J237" s="10">
        <v>0.25148530388149032</v>
      </c>
      <c r="K237" s="10">
        <v>44.949249206480651</v>
      </c>
      <c r="L237" s="10">
        <v>32.631645338813911</v>
      </c>
      <c r="M237" s="10">
        <v>66.979394276202214</v>
      </c>
    </row>
    <row r="238" spans="1:13" x14ac:dyDescent="0.25">
      <c r="A238" s="8">
        <v>30</v>
      </c>
      <c r="B238" s="8" t="s">
        <v>194</v>
      </c>
      <c r="C238" s="8" t="s">
        <v>301</v>
      </c>
      <c r="D238" s="8" t="s">
        <v>28</v>
      </c>
      <c r="E238" s="8" t="s">
        <v>29</v>
      </c>
      <c r="F238" s="8" t="s">
        <v>96</v>
      </c>
      <c r="G238" s="11">
        <v>0</v>
      </c>
      <c r="H238" s="11">
        <v>0.57528410887100834</v>
      </c>
      <c r="I238" s="11">
        <v>0.55256306869115623</v>
      </c>
      <c r="J238" s="11">
        <v>0.6833899734934139</v>
      </c>
      <c r="K238" s="11">
        <v>27.609909695058061</v>
      </c>
      <c r="L238" s="11">
        <v>19.892928271907479</v>
      </c>
      <c r="M238" s="11">
        <v>96.5752612810128</v>
      </c>
    </row>
    <row r="239" spans="1:13" x14ac:dyDescent="0.25">
      <c r="A239" s="6">
        <v>31</v>
      </c>
      <c r="B239" s="6" t="s">
        <v>198</v>
      </c>
      <c r="C239" s="6" t="s">
        <v>300</v>
      </c>
      <c r="D239" s="6" t="s">
        <v>28</v>
      </c>
      <c r="E239" s="6" t="s">
        <v>29</v>
      </c>
      <c r="F239" s="6" t="s">
        <v>130</v>
      </c>
      <c r="G239" s="10">
        <v>0</v>
      </c>
      <c r="H239" s="10">
        <v>0.42983924609536989</v>
      </c>
      <c r="I239" s="10">
        <v>5.8482869291778893E-2</v>
      </c>
      <c r="J239" s="10">
        <v>0.35482326921949731</v>
      </c>
      <c r="K239" s="10">
        <v>37.109061687706358</v>
      </c>
      <c r="L239" s="10">
        <v>23.384143051110669</v>
      </c>
      <c r="M239" s="10">
        <v>62.656294523540041</v>
      </c>
    </row>
    <row r="240" spans="1:13" x14ac:dyDescent="0.25">
      <c r="A240" s="8">
        <v>31</v>
      </c>
      <c r="B240" s="8" t="s">
        <v>198</v>
      </c>
      <c r="C240" s="8" t="s">
        <v>301</v>
      </c>
      <c r="D240" s="8" t="s">
        <v>28</v>
      </c>
      <c r="E240" s="8" t="s">
        <v>29</v>
      </c>
      <c r="F240" s="8" t="s">
        <v>130</v>
      </c>
      <c r="G240" s="11">
        <v>0</v>
      </c>
      <c r="H240" s="11">
        <v>0.1090721560237224</v>
      </c>
      <c r="I240" s="11">
        <v>0.87783172684814326</v>
      </c>
      <c r="J240" s="11">
        <v>0</v>
      </c>
      <c r="K240" s="11">
        <v>28.213201619757211</v>
      </c>
      <c r="L240" s="11">
        <v>20.93633895165053</v>
      </c>
      <c r="M240" s="11">
        <v>73.843830613428992</v>
      </c>
    </row>
    <row r="241" spans="1:13" x14ac:dyDescent="0.25">
      <c r="A241" s="6">
        <v>32</v>
      </c>
      <c r="B241" s="6" t="s">
        <v>201</v>
      </c>
      <c r="C241" s="6" t="s">
        <v>300</v>
      </c>
      <c r="D241" s="6" t="s">
        <v>28</v>
      </c>
      <c r="E241" s="6" t="s">
        <v>35</v>
      </c>
      <c r="F241" s="6" t="s">
        <v>76</v>
      </c>
      <c r="G241" s="10">
        <v>0.14191087104532421</v>
      </c>
      <c r="H241" s="10">
        <v>1.601243883509142</v>
      </c>
      <c r="I241" s="10">
        <v>0</v>
      </c>
      <c r="J241" s="10">
        <v>0.2289474824354939</v>
      </c>
      <c r="K241" s="10">
        <v>60.390008783948808</v>
      </c>
      <c r="L241" s="10">
        <v>48.618346688203523</v>
      </c>
      <c r="M241" s="10">
        <v>213.8473891466835</v>
      </c>
    </row>
    <row r="242" spans="1:13" x14ac:dyDescent="0.25">
      <c r="A242" s="8">
        <v>32</v>
      </c>
      <c r="B242" s="8" t="s">
        <v>201</v>
      </c>
      <c r="C242" s="8" t="s">
        <v>301</v>
      </c>
      <c r="D242" s="8" t="s">
        <v>28</v>
      </c>
      <c r="E242" s="8" t="s">
        <v>35</v>
      </c>
      <c r="F242" s="8" t="s">
        <v>76</v>
      </c>
      <c r="G242" s="11">
        <v>0</v>
      </c>
      <c r="H242" s="11">
        <v>0.2136487015115684</v>
      </c>
      <c r="I242" s="11">
        <v>0</v>
      </c>
      <c r="J242" s="11">
        <v>0.30731281945969252</v>
      </c>
      <c r="K242" s="11">
        <v>59.158885604214703</v>
      </c>
      <c r="L242" s="11">
        <v>41.619295306483529</v>
      </c>
      <c r="M242" s="11">
        <v>229.35471122561461</v>
      </c>
    </row>
    <row r="243" spans="1:13" x14ac:dyDescent="0.25">
      <c r="A243" s="6">
        <v>33</v>
      </c>
      <c r="B243" s="6" t="s">
        <v>205</v>
      </c>
      <c r="C243" s="6" t="s">
        <v>300</v>
      </c>
      <c r="D243" s="6" t="s">
        <v>28</v>
      </c>
      <c r="E243" s="6" t="s">
        <v>35</v>
      </c>
      <c r="F243" s="6" t="s">
        <v>76</v>
      </c>
      <c r="G243" s="10">
        <v>0.14191087104532421</v>
      </c>
      <c r="H243" s="10">
        <v>1.601243883509142</v>
      </c>
      <c r="I243" s="10">
        <v>0</v>
      </c>
      <c r="J243" s="10">
        <v>0.2289474824354939</v>
      </c>
      <c r="K243" s="10">
        <v>59.191315216437189</v>
      </c>
      <c r="L243" s="10">
        <v>47.930006827141881</v>
      </c>
      <c r="M243" s="10">
        <v>211.20157917584299</v>
      </c>
    </row>
    <row r="244" spans="1:13" x14ac:dyDescent="0.25">
      <c r="A244" s="8">
        <v>33</v>
      </c>
      <c r="B244" s="8" t="s">
        <v>205</v>
      </c>
      <c r="C244" s="8" t="s">
        <v>301</v>
      </c>
      <c r="D244" s="8" t="s">
        <v>28</v>
      </c>
      <c r="E244" s="8" t="s">
        <v>35</v>
      </c>
      <c r="F244" s="8" t="s">
        <v>76</v>
      </c>
      <c r="G244" s="11">
        <v>0</v>
      </c>
      <c r="H244" s="11">
        <v>8.3882197240028836E-2</v>
      </c>
      <c r="I244" s="11">
        <v>4.6840289826681099E-2</v>
      </c>
      <c r="J244" s="11">
        <v>0.24952844734976529</v>
      </c>
      <c r="K244" s="11">
        <v>61.459796257234032</v>
      </c>
      <c r="L244" s="11">
        <v>46.932577465389251</v>
      </c>
      <c r="M244" s="11">
        <v>212.15760828628709</v>
      </c>
    </row>
    <row r="245" spans="1:13" x14ac:dyDescent="0.25">
      <c r="A245" s="6">
        <v>34</v>
      </c>
      <c r="B245" s="6" t="s">
        <v>210</v>
      </c>
      <c r="C245" s="6" t="s">
        <v>300</v>
      </c>
      <c r="D245" s="6" t="s">
        <v>28</v>
      </c>
      <c r="E245" s="6" t="s">
        <v>29</v>
      </c>
      <c r="F245" s="6" t="s">
        <v>130</v>
      </c>
      <c r="G245" s="10">
        <v>0</v>
      </c>
      <c r="H245" s="10">
        <v>0.53888783763546344</v>
      </c>
      <c r="I245" s="10">
        <v>0.55895774646599539</v>
      </c>
      <c r="J245" s="10">
        <v>0.67988509001220443</v>
      </c>
      <c r="K245" s="10">
        <v>44.665977960802778</v>
      </c>
      <c r="L245" s="10">
        <v>29.461790710784889</v>
      </c>
      <c r="M245" s="10">
        <v>76.489180134545222</v>
      </c>
    </row>
    <row r="246" spans="1:13" x14ac:dyDescent="0.25">
      <c r="A246" s="8">
        <v>34</v>
      </c>
      <c r="B246" s="8" t="s">
        <v>210</v>
      </c>
      <c r="C246" s="8" t="s">
        <v>301</v>
      </c>
      <c r="D246" s="8" t="s">
        <v>28</v>
      </c>
      <c r="E246" s="8" t="s">
        <v>29</v>
      </c>
      <c r="F246" s="8" t="s">
        <v>130</v>
      </c>
      <c r="G246" s="11">
        <v>0</v>
      </c>
      <c r="H246" s="11">
        <v>0.32127343254929702</v>
      </c>
      <c r="I246" s="11">
        <v>0.5256426997626461</v>
      </c>
      <c r="J246" s="11">
        <v>1.2222826160609359</v>
      </c>
      <c r="K246" s="11">
        <v>30.18268163700424</v>
      </c>
      <c r="L246" s="11">
        <v>24.87772879183483</v>
      </c>
      <c r="M246" s="11">
        <v>96.902750674201656</v>
      </c>
    </row>
    <row r="247" spans="1:13" x14ac:dyDescent="0.25">
      <c r="A247" s="6">
        <v>35</v>
      </c>
      <c r="B247" s="6" t="s">
        <v>212</v>
      </c>
      <c r="C247" s="6" t="s">
        <v>300</v>
      </c>
      <c r="D247" s="6" t="s">
        <v>28</v>
      </c>
      <c r="E247" s="6" t="s">
        <v>29</v>
      </c>
      <c r="F247" s="6" t="s">
        <v>130</v>
      </c>
      <c r="G247" s="10">
        <v>0</v>
      </c>
      <c r="H247" s="10">
        <v>7.0507928329398672E-2</v>
      </c>
      <c r="I247" s="10">
        <v>0.1448841273528465</v>
      </c>
      <c r="J247" s="10">
        <v>0.25921076400223497</v>
      </c>
      <c r="K247" s="10">
        <v>43.798166138630357</v>
      </c>
      <c r="L247" s="10">
        <v>31.327707045503551</v>
      </c>
      <c r="M247" s="10">
        <v>50.141193298572247</v>
      </c>
    </row>
    <row r="248" spans="1:13" x14ac:dyDescent="0.25">
      <c r="A248" s="8">
        <v>35</v>
      </c>
      <c r="B248" s="8" t="s">
        <v>212</v>
      </c>
      <c r="C248" s="8" t="s">
        <v>301</v>
      </c>
      <c r="D248" s="8" t="s">
        <v>28</v>
      </c>
      <c r="E248" s="8" t="s">
        <v>29</v>
      </c>
      <c r="F248" s="8" t="s">
        <v>130</v>
      </c>
      <c r="G248" s="11">
        <v>0</v>
      </c>
      <c r="H248" s="11">
        <v>0.1090721560237224</v>
      </c>
      <c r="I248" s="11">
        <v>0.85914424303480363</v>
      </c>
      <c r="J248" s="11">
        <v>0</v>
      </c>
      <c r="K248" s="11">
        <v>28.213201619757211</v>
      </c>
      <c r="L248" s="11">
        <v>20.93633895165053</v>
      </c>
      <c r="M248" s="11">
        <v>73.864623033822284</v>
      </c>
    </row>
    <row r="249" spans="1:13" x14ac:dyDescent="0.25">
      <c r="A249" s="6">
        <v>36</v>
      </c>
      <c r="B249" s="6" t="s">
        <v>214</v>
      </c>
      <c r="C249" s="6" t="s">
        <v>300</v>
      </c>
      <c r="D249" s="6" t="s">
        <v>28</v>
      </c>
      <c r="E249" s="6" t="s">
        <v>35</v>
      </c>
      <c r="F249" s="6" t="s">
        <v>88</v>
      </c>
      <c r="G249" s="10">
        <v>7.3400927521957676E-2</v>
      </c>
      <c r="H249" s="10">
        <v>0.70180496243028956</v>
      </c>
      <c r="I249" s="10">
        <v>4.5554317839269158E-2</v>
      </c>
      <c r="J249" s="10">
        <v>1.402436801450748</v>
      </c>
      <c r="K249" s="10">
        <v>43.073610496415832</v>
      </c>
      <c r="L249" s="10">
        <v>38.728575105778127</v>
      </c>
      <c r="M249" s="10">
        <v>242.43273005286389</v>
      </c>
    </row>
    <row r="250" spans="1:13" x14ac:dyDescent="0.25">
      <c r="A250" s="8">
        <v>36</v>
      </c>
      <c r="B250" s="8" t="s">
        <v>214</v>
      </c>
      <c r="C250" s="8" t="s">
        <v>301</v>
      </c>
      <c r="D250" s="8" t="s">
        <v>28</v>
      </c>
      <c r="E250" s="8" t="s">
        <v>35</v>
      </c>
      <c r="F250" s="8" t="s">
        <v>88</v>
      </c>
      <c r="G250" s="11">
        <v>0</v>
      </c>
      <c r="H250" s="11">
        <v>0.34734042341449439</v>
      </c>
      <c r="I250" s="11">
        <v>0</v>
      </c>
      <c r="J250" s="11">
        <v>0.45457411253170432</v>
      </c>
      <c r="K250" s="11">
        <v>60.408704745590633</v>
      </c>
      <c r="L250" s="11">
        <v>48.510694040374013</v>
      </c>
      <c r="M250" s="11">
        <v>216.86930410634201</v>
      </c>
    </row>
    <row r="251" spans="1:13" x14ac:dyDescent="0.25">
      <c r="A251" s="6">
        <v>37</v>
      </c>
      <c r="B251" s="6" t="s">
        <v>218</v>
      </c>
      <c r="C251" s="6" t="s">
        <v>300</v>
      </c>
      <c r="D251" s="6" t="s">
        <v>28</v>
      </c>
      <c r="E251" s="6" t="s">
        <v>35</v>
      </c>
      <c r="F251" s="6" t="s">
        <v>76</v>
      </c>
      <c r="G251" s="10">
        <v>0.30535713043367269</v>
      </c>
      <c r="H251" s="10">
        <v>0.14094843113112021</v>
      </c>
      <c r="I251" s="10">
        <v>5.4215425897099186E-3</v>
      </c>
      <c r="J251" s="10">
        <v>0.92447727733159768</v>
      </c>
      <c r="K251" s="10">
        <v>30.514332664280492</v>
      </c>
      <c r="L251" s="10">
        <v>28.675992224263862</v>
      </c>
      <c r="M251" s="10">
        <v>188.56031910176461</v>
      </c>
    </row>
    <row r="252" spans="1:13" x14ac:dyDescent="0.25">
      <c r="A252" s="8">
        <v>37</v>
      </c>
      <c r="B252" s="8" t="s">
        <v>218</v>
      </c>
      <c r="C252" s="8" t="s">
        <v>301</v>
      </c>
      <c r="D252" s="8" t="s">
        <v>28</v>
      </c>
      <c r="E252" s="8" t="s">
        <v>35</v>
      </c>
      <c r="F252" s="8" t="s">
        <v>76</v>
      </c>
      <c r="G252" s="11">
        <v>0</v>
      </c>
      <c r="H252" s="11">
        <v>8.3882197240028836E-2</v>
      </c>
      <c r="I252" s="11">
        <v>2.4298019276443351E-2</v>
      </c>
      <c r="J252" s="11">
        <v>0.2309310830082773</v>
      </c>
      <c r="K252" s="11">
        <v>45.486197913377573</v>
      </c>
      <c r="L252" s="11">
        <v>34.428473200240241</v>
      </c>
      <c r="M252" s="11">
        <v>169.6534187990338</v>
      </c>
    </row>
    <row r="253" spans="1:13" x14ac:dyDescent="0.25">
      <c r="A253" s="6">
        <v>38</v>
      </c>
      <c r="B253" s="6" t="s">
        <v>223</v>
      </c>
      <c r="C253" s="6" t="s">
        <v>300</v>
      </c>
      <c r="D253" s="6" t="s">
        <v>28</v>
      </c>
      <c r="E253" s="6" t="s">
        <v>31</v>
      </c>
      <c r="F253" s="6" t="s">
        <v>31</v>
      </c>
      <c r="G253" s="10">
        <v>0.1423627546916193</v>
      </c>
      <c r="H253" s="10">
        <v>0.19087658536061269</v>
      </c>
      <c r="I253" s="10">
        <v>0.1087001286100384</v>
      </c>
      <c r="J253" s="10">
        <v>0.39868431866922599</v>
      </c>
      <c r="K253" s="10">
        <v>67.358249040373622</v>
      </c>
      <c r="L253" s="10">
        <v>52.262791432987221</v>
      </c>
      <c r="M253" s="10">
        <v>205.89310831389679</v>
      </c>
    </row>
    <row r="254" spans="1:13" x14ac:dyDescent="0.25">
      <c r="A254" s="8">
        <v>38</v>
      </c>
      <c r="B254" s="8" t="s">
        <v>223</v>
      </c>
      <c r="C254" s="8" t="s">
        <v>301</v>
      </c>
      <c r="D254" s="8" t="s">
        <v>28</v>
      </c>
      <c r="E254" s="8" t="s">
        <v>31</v>
      </c>
      <c r="F254" s="8" t="s">
        <v>31</v>
      </c>
      <c r="G254" s="11">
        <v>0</v>
      </c>
      <c r="H254" s="11">
        <v>0.54761889554039</v>
      </c>
      <c r="I254" s="11">
        <v>5.0473616639224998E-2</v>
      </c>
      <c r="J254" s="11">
        <v>0.94513627935308775</v>
      </c>
      <c r="K254" s="11">
        <v>50.571016219655441</v>
      </c>
      <c r="L254" s="11">
        <v>45.612596971397018</v>
      </c>
      <c r="M254" s="11">
        <v>228.21925521167481</v>
      </c>
    </row>
    <row r="255" spans="1:13" x14ac:dyDescent="0.25">
      <c r="A255" s="6">
        <v>39</v>
      </c>
      <c r="B255" s="6" t="s">
        <v>229</v>
      </c>
      <c r="C255" s="6" t="s">
        <v>300</v>
      </c>
      <c r="D255" s="6" t="s">
        <v>28</v>
      </c>
      <c r="E255" s="6" t="s">
        <v>31</v>
      </c>
      <c r="F255" s="6" t="s">
        <v>31</v>
      </c>
      <c r="G255" s="10">
        <v>0.1423627546916193</v>
      </c>
      <c r="H255" s="10">
        <v>0.19087658536061269</v>
      </c>
      <c r="I255" s="10">
        <v>0.1087001286100384</v>
      </c>
      <c r="J255" s="10">
        <v>0.37808500805927941</v>
      </c>
      <c r="K255" s="10">
        <v>67.007992810224437</v>
      </c>
      <c r="L255" s="10">
        <v>52.066282694191528</v>
      </c>
      <c r="M255" s="10">
        <v>205.52161381979761</v>
      </c>
    </row>
    <row r="256" spans="1:13" x14ac:dyDescent="0.25">
      <c r="A256" s="8">
        <v>39</v>
      </c>
      <c r="B256" s="8" t="s">
        <v>229</v>
      </c>
      <c r="C256" s="8" t="s">
        <v>301</v>
      </c>
      <c r="D256" s="8" t="s">
        <v>28</v>
      </c>
      <c r="E256" s="8" t="s">
        <v>31</v>
      </c>
      <c r="F256" s="8" t="s">
        <v>31</v>
      </c>
      <c r="G256" s="11">
        <v>0</v>
      </c>
      <c r="H256" s="11">
        <v>0.90317783554809627</v>
      </c>
      <c r="I256" s="11">
        <v>0.1049872832033934</v>
      </c>
      <c r="J256" s="11">
        <v>0.63732161434013213</v>
      </c>
      <c r="K256" s="11">
        <v>52.912666076357993</v>
      </c>
      <c r="L256" s="11">
        <v>38.055957494648879</v>
      </c>
      <c r="M256" s="11">
        <v>232.43940737094141</v>
      </c>
    </row>
    <row r="257" spans="1:13" x14ac:dyDescent="0.25">
      <c r="A257" s="6">
        <v>40</v>
      </c>
      <c r="B257" s="6" t="s">
        <v>234</v>
      </c>
      <c r="C257" s="6" t="s">
        <v>300</v>
      </c>
      <c r="D257" s="6" t="s">
        <v>28</v>
      </c>
      <c r="E257" s="6" t="s">
        <v>31</v>
      </c>
      <c r="F257" s="6" t="s">
        <v>31</v>
      </c>
      <c r="G257" s="10">
        <v>0.1423627546916193</v>
      </c>
      <c r="H257" s="10">
        <v>0.19087658536061269</v>
      </c>
      <c r="I257" s="10">
        <v>0.1087001286100384</v>
      </c>
      <c r="J257" s="10">
        <v>0.39868431866922599</v>
      </c>
      <c r="K257" s="10">
        <v>67.358249040373622</v>
      </c>
      <c r="L257" s="10">
        <v>52.27381680184341</v>
      </c>
      <c r="M257" s="10">
        <v>205.9508621472857</v>
      </c>
    </row>
    <row r="258" spans="1:13" x14ac:dyDescent="0.25">
      <c r="A258" s="8">
        <v>40</v>
      </c>
      <c r="B258" s="8" t="s">
        <v>234</v>
      </c>
      <c r="C258" s="8" t="s">
        <v>301</v>
      </c>
      <c r="D258" s="8" t="s">
        <v>28</v>
      </c>
      <c r="E258" s="8" t="s">
        <v>31</v>
      </c>
      <c r="F258" s="8" t="s">
        <v>31</v>
      </c>
      <c r="G258" s="11">
        <v>0</v>
      </c>
      <c r="H258" s="11">
        <v>2.1664931883547331E-3</v>
      </c>
      <c r="I258" s="11">
        <v>4.085835435001741E-2</v>
      </c>
      <c r="J258" s="11">
        <v>0.36129624957342932</v>
      </c>
      <c r="K258" s="11">
        <v>42.505617415062652</v>
      </c>
      <c r="L258" s="11">
        <v>30.728695534576911</v>
      </c>
      <c r="M258" s="11">
        <v>252.31347506200601</v>
      </c>
    </row>
    <row r="259" spans="1:13" x14ac:dyDescent="0.25">
      <c r="A259" s="6">
        <v>41</v>
      </c>
      <c r="B259" s="6" t="s">
        <v>238</v>
      </c>
      <c r="C259" s="6" t="s">
        <v>300</v>
      </c>
      <c r="D259" s="6" t="s">
        <v>28</v>
      </c>
      <c r="E259" s="6" t="s">
        <v>31</v>
      </c>
      <c r="F259" s="6" t="s">
        <v>31</v>
      </c>
      <c r="G259" s="10">
        <v>5.2222732101069563E-2</v>
      </c>
      <c r="H259" s="10">
        <v>0.12701409600270411</v>
      </c>
      <c r="I259" s="10">
        <v>3.1548608690509579E-2</v>
      </c>
      <c r="J259" s="10">
        <v>0.16750319091501231</v>
      </c>
      <c r="K259" s="10">
        <v>59.993505539180077</v>
      </c>
      <c r="L259" s="10">
        <v>53.823119668093447</v>
      </c>
      <c r="M259" s="10">
        <v>211.25438556095691</v>
      </c>
    </row>
    <row r="260" spans="1:13" x14ac:dyDescent="0.25">
      <c r="A260" s="8">
        <v>41</v>
      </c>
      <c r="B260" s="8" t="s">
        <v>238</v>
      </c>
      <c r="C260" s="8" t="s">
        <v>301</v>
      </c>
      <c r="D260" s="8" t="s">
        <v>28</v>
      </c>
      <c r="E260" s="8" t="s">
        <v>31</v>
      </c>
      <c r="F260" s="8" t="s">
        <v>31</v>
      </c>
      <c r="G260" s="11">
        <v>0</v>
      </c>
      <c r="H260" s="11">
        <v>0.54761889554039</v>
      </c>
      <c r="I260" s="11">
        <v>5.0473616639224998E-2</v>
      </c>
      <c r="J260" s="11">
        <v>0.94513627935308775</v>
      </c>
      <c r="K260" s="11">
        <v>50.235548888441691</v>
      </c>
      <c r="L260" s="11">
        <v>45.362202854839133</v>
      </c>
      <c r="M260" s="11">
        <v>228.0564978626206</v>
      </c>
    </row>
    <row r="261" spans="1:13" x14ac:dyDescent="0.25">
      <c r="A261" s="6">
        <v>42</v>
      </c>
      <c r="B261" s="6" t="s">
        <v>242</v>
      </c>
      <c r="C261" s="6" t="s">
        <v>300</v>
      </c>
      <c r="D261" s="6" t="s">
        <v>28</v>
      </c>
      <c r="E261" s="6" t="s">
        <v>33</v>
      </c>
      <c r="F261" s="6" t="s">
        <v>33</v>
      </c>
      <c r="G261" s="10">
        <v>0.1119717603069536</v>
      </c>
      <c r="H261" s="10">
        <v>8.2158448585864255E-2</v>
      </c>
      <c r="I261" s="10">
        <v>1.643615657683831E-2</v>
      </c>
      <c r="J261" s="10">
        <v>0.5125712172728395</v>
      </c>
      <c r="K261" s="10">
        <v>67.117549684267743</v>
      </c>
      <c r="L261" s="10">
        <v>56.356321664556063</v>
      </c>
      <c r="M261" s="10">
        <v>197.66418683099539</v>
      </c>
    </row>
    <row r="262" spans="1:13" x14ac:dyDescent="0.25">
      <c r="A262" s="8">
        <v>42</v>
      </c>
      <c r="B262" s="8" t="s">
        <v>242</v>
      </c>
      <c r="C262" s="8" t="s">
        <v>301</v>
      </c>
      <c r="D262" s="8" t="s">
        <v>28</v>
      </c>
      <c r="E262" s="8" t="s">
        <v>33</v>
      </c>
      <c r="F262" s="8" t="s">
        <v>33</v>
      </c>
      <c r="G262" s="11">
        <v>0</v>
      </c>
      <c r="H262" s="11">
        <v>0.47667835410688608</v>
      </c>
      <c r="I262" s="11">
        <v>1.27297174998127E-2</v>
      </c>
      <c r="J262" s="11">
        <v>0.4202840859765154</v>
      </c>
      <c r="K262" s="11">
        <v>40.651361378664021</v>
      </c>
      <c r="L262" s="11">
        <v>31.659462752029832</v>
      </c>
      <c r="M262" s="11">
        <v>249.21290311643861</v>
      </c>
    </row>
    <row r="263" spans="1:13" x14ac:dyDescent="0.25">
      <c r="A263" s="6">
        <v>43</v>
      </c>
      <c r="B263" s="6" t="s">
        <v>248</v>
      </c>
      <c r="C263" s="6" t="s">
        <v>300</v>
      </c>
      <c r="D263" s="6" t="s">
        <v>28</v>
      </c>
      <c r="E263" s="6" t="s">
        <v>33</v>
      </c>
      <c r="F263" s="6" t="s">
        <v>33</v>
      </c>
      <c r="G263" s="10">
        <v>0.1119717603069536</v>
      </c>
      <c r="H263" s="10">
        <v>0.2137910036648912</v>
      </c>
      <c r="I263" s="10">
        <v>2.66289259127734E-2</v>
      </c>
      <c r="J263" s="10">
        <v>0.53192012036127867</v>
      </c>
      <c r="K263" s="10">
        <v>67.235218047696108</v>
      </c>
      <c r="L263" s="10">
        <v>56.319756834393488</v>
      </c>
      <c r="M263" s="10">
        <v>197.7381876113653</v>
      </c>
    </row>
    <row r="264" spans="1:13" x14ac:dyDescent="0.25">
      <c r="A264" s="8">
        <v>43</v>
      </c>
      <c r="B264" s="8" t="s">
        <v>248</v>
      </c>
      <c r="C264" s="8" t="s">
        <v>301</v>
      </c>
      <c r="D264" s="8" t="s">
        <v>28</v>
      </c>
      <c r="E264" s="8" t="s">
        <v>33</v>
      </c>
      <c r="F264" s="8" t="s">
        <v>33</v>
      </c>
      <c r="G264" s="11">
        <v>0</v>
      </c>
      <c r="H264" s="11">
        <v>0.45036794227206151</v>
      </c>
      <c r="I264" s="11">
        <v>6.3170939991916364E-2</v>
      </c>
      <c r="J264" s="11">
        <v>0.89965978323865836</v>
      </c>
      <c r="K264" s="11">
        <v>58.376029715565082</v>
      </c>
      <c r="L264" s="11">
        <v>42.972091125409762</v>
      </c>
      <c r="M264" s="11">
        <v>218.8656286111331</v>
      </c>
    </row>
    <row r="265" spans="1:13" x14ac:dyDescent="0.25">
      <c r="A265" s="6">
        <v>44</v>
      </c>
      <c r="B265" s="6" t="s">
        <v>254</v>
      </c>
      <c r="C265" s="6" t="s">
        <v>300</v>
      </c>
      <c r="D265" s="6" t="s">
        <v>28</v>
      </c>
      <c r="E265" s="6" t="s">
        <v>33</v>
      </c>
      <c r="F265" s="6" t="s">
        <v>33</v>
      </c>
      <c r="G265" s="10">
        <v>0</v>
      </c>
      <c r="H265" s="10">
        <v>0.24021946013287521</v>
      </c>
      <c r="I265" s="10">
        <v>0.21586370090681031</v>
      </c>
      <c r="J265" s="10">
        <v>0.59248667710547542</v>
      </c>
      <c r="K265" s="10">
        <v>70.970852140693879</v>
      </c>
      <c r="L265" s="10">
        <v>57.389927718761932</v>
      </c>
      <c r="M265" s="10">
        <v>195.02043862678869</v>
      </c>
    </row>
    <row r="266" spans="1:13" x14ac:dyDescent="0.25">
      <c r="A266" s="8">
        <v>44</v>
      </c>
      <c r="B266" s="8" t="s">
        <v>254</v>
      </c>
      <c r="C266" s="8" t="s">
        <v>301</v>
      </c>
      <c r="D266" s="8" t="s">
        <v>28</v>
      </c>
      <c r="E266" s="8" t="s">
        <v>33</v>
      </c>
      <c r="F266" s="8" t="s">
        <v>33</v>
      </c>
      <c r="G266" s="11">
        <v>0</v>
      </c>
      <c r="H266" s="11">
        <v>0.34786384859507741</v>
      </c>
      <c r="I266" s="11">
        <v>1.27297174998127E-2</v>
      </c>
      <c r="J266" s="11">
        <v>0.4202840859765154</v>
      </c>
      <c r="K266" s="11">
        <v>41.502099869045793</v>
      </c>
      <c r="L266" s="11">
        <v>32.234391519954421</v>
      </c>
      <c r="M266" s="11">
        <v>250.51769768747249</v>
      </c>
    </row>
    <row r="267" spans="1:13" x14ac:dyDescent="0.25">
      <c r="A267" s="6">
        <v>45</v>
      </c>
      <c r="B267" s="6" t="s">
        <v>259</v>
      </c>
      <c r="C267" s="6" t="s">
        <v>300</v>
      </c>
      <c r="D267" s="6" t="s">
        <v>28</v>
      </c>
      <c r="E267" s="6" t="s">
        <v>33</v>
      </c>
      <c r="F267" s="6" t="s">
        <v>33</v>
      </c>
      <c r="G267" s="10">
        <v>0.1119717603069536</v>
      </c>
      <c r="H267" s="10">
        <v>0.2137910036648912</v>
      </c>
      <c r="I267" s="10">
        <v>2.66289259127734E-2</v>
      </c>
      <c r="J267" s="10">
        <v>0.56215733478846408</v>
      </c>
      <c r="K267" s="10">
        <v>67.301100613028154</v>
      </c>
      <c r="L267" s="10">
        <v>56.319756834393488</v>
      </c>
      <c r="M267" s="10">
        <v>197.7381876113653</v>
      </c>
    </row>
    <row r="268" spans="1:13" x14ac:dyDescent="0.25">
      <c r="A268" s="8">
        <v>45</v>
      </c>
      <c r="B268" s="8" t="s">
        <v>259</v>
      </c>
      <c r="C268" s="8" t="s">
        <v>301</v>
      </c>
      <c r="D268" s="8" t="s">
        <v>28</v>
      </c>
      <c r="E268" s="8" t="s">
        <v>33</v>
      </c>
      <c r="F268" s="8" t="s">
        <v>33</v>
      </c>
      <c r="G268" s="11">
        <v>0</v>
      </c>
      <c r="H268" s="11">
        <v>0.44332241051292248</v>
      </c>
      <c r="I268" s="11">
        <v>0.428265735708522</v>
      </c>
      <c r="J268" s="11">
        <v>0.51104472499002784</v>
      </c>
      <c r="K268" s="11">
        <v>36.197264170490961</v>
      </c>
      <c r="L268" s="11">
        <v>28.879561718426849</v>
      </c>
      <c r="M268" s="11">
        <v>256.18752385879287</v>
      </c>
    </row>
    <row r="269" spans="1:13" x14ac:dyDescent="0.25">
      <c r="A269" s="6">
        <v>46</v>
      </c>
      <c r="B269" s="6" t="s">
        <v>263</v>
      </c>
      <c r="C269" s="6" t="s">
        <v>300</v>
      </c>
      <c r="D269" s="6" t="s">
        <v>28</v>
      </c>
      <c r="E269" s="6" t="s">
        <v>33</v>
      </c>
      <c r="F269" s="6" t="s">
        <v>33</v>
      </c>
      <c r="G269" s="10">
        <v>8.8935996553685642E-2</v>
      </c>
      <c r="H269" s="10">
        <v>0.1794253337608642</v>
      </c>
      <c r="I269" s="10">
        <v>5.059730733317578E-2</v>
      </c>
      <c r="J269" s="10">
        <v>0.57665162648251256</v>
      </c>
      <c r="K269" s="10">
        <v>63.807175975714962</v>
      </c>
      <c r="L269" s="10">
        <v>54.004262033049137</v>
      </c>
      <c r="M269" s="10">
        <v>206.22798010798391</v>
      </c>
    </row>
    <row r="270" spans="1:13" x14ac:dyDescent="0.25">
      <c r="A270" s="8">
        <v>46</v>
      </c>
      <c r="B270" s="8" t="s">
        <v>263</v>
      </c>
      <c r="C270" s="8" t="s">
        <v>301</v>
      </c>
      <c r="D270" s="8" t="s">
        <v>28</v>
      </c>
      <c r="E270" s="8" t="s">
        <v>33</v>
      </c>
      <c r="F270" s="8" t="s">
        <v>33</v>
      </c>
      <c r="G270" s="11">
        <v>0</v>
      </c>
      <c r="H270" s="11">
        <v>0.47667835410688608</v>
      </c>
      <c r="I270" s="11">
        <v>1.27297174998127E-2</v>
      </c>
      <c r="J270" s="11">
        <v>0.4202840859765154</v>
      </c>
      <c r="K270" s="11">
        <v>41.502099869045793</v>
      </c>
      <c r="L270" s="11">
        <v>32.504544856726113</v>
      </c>
      <c r="M270" s="11">
        <v>250.81001115689449</v>
      </c>
    </row>
    <row r="271" spans="1:13" x14ac:dyDescent="0.25">
      <c r="A271" s="6">
        <v>47</v>
      </c>
      <c r="B271" s="6" t="s">
        <v>266</v>
      </c>
      <c r="C271" s="6" t="s">
        <v>300</v>
      </c>
      <c r="D271" s="6" t="s">
        <v>28</v>
      </c>
      <c r="E271" s="6" t="s">
        <v>31</v>
      </c>
      <c r="F271" s="6" t="s">
        <v>31</v>
      </c>
      <c r="G271" s="10">
        <v>5.2222732101069563E-2</v>
      </c>
      <c r="H271" s="10">
        <v>0.12701409600270411</v>
      </c>
      <c r="I271" s="10">
        <v>3.1548608690509579E-2</v>
      </c>
      <c r="J271" s="10">
        <v>0.16750319091501231</v>
      </c>
      <c r="K271" s="10">
        <v>59.945805897200891</v>
      </c>
      <c r="L271" s="10">
        <v>53.823119668093447</v>
      </c>
      <c r="M271" s="10">
        <v>211.23443710140779</v>
      </c>
    </row>
    <row r="272" spans="1:13" x14ac:dyDescent="0.25">
      <c r="A272" s="8">
        <v>47</v>
      </c>
      <c r="B272" s="8" t="s">
        <v>266</v>
      </c>
      <c r="C272" s="8" t="s">
        <v>301</v>
      </c>
      <c r="D272" s="8" t="s">
        <v>28</v>
      </c>
      <c r="E272" s="8" t="s">
        <v>31</v>
      </c>
      <c r="F272" s="8" t="s">
        <v>31</v>
      </c>
      <c r="G272" s="11">
        <v>0</v>
      </c>
      <c r="H272" s="11">
        <v>0.90317783554809627</v>
      </c>
      <c r="I272" s="11">
        <v>0.108236844142404</v>
      </c>
      <c r="J272" s="11">
        <v>0.64815348413888652</v>
      </c>
      <c r="K272" s="11">
        <v>52.960680605724093</v>
      </c>
      <c r="L272" s="11">
        <v>38.363873389086699</v>
      </c>
      <c r="M272" s="11">
        <v>232.18900722070151</v>
      </c>
    </row>
    <row r="273" spans="1:13" x14ac:dyDescent="0.25">
      <c r="A273" s="6">
        <v>48</v>
      </c>
      <c r="B273" s="6" t="s">
        <v>269</v>
      </c>
      <c r="C273" s="6" t="s">
        <v>300</v>
      </c>
      <c r="D273" s="6" t="s">
        <v>28</v>
      </c>
      <c r="E273" s="6" t="s">
        <v>33</v>
      </c>
      <c r="F273" s="6" t="s">
        <v>33</v>
      </c>
      <c r="G273" s="10">
        <v>0</v>
      </c>
      <c r="H273" s="10">
        <v>0.24021946013287521</v>
      </c>
      <c r="I273" s="10">
        <v>0.21586370090681031</v>
      </c>
      <c r="J273" s="10">
        <v>0.59801557616878198</v>
      </c>
      <c r="K273" s="10">
        <v>71.216839058001057</v>
      </c>
      <c r="L273" s="10">
        <v>57.608886510204798</v>
      </c>
      <c r="M273" s="10">
        <v>195.5190827900918</v>
      </c>
    </row>
    <row r="274" spans="1:13" x14ac:dyDescent="0.25">
      <c r="A274" s="8">
        <v>48</v>
      </c>
      <c r="B274" s="8" t="s">
        <v>269</v>
      </c>
      <c r="C274" s="8" t="s">
        <v>301</v>
      </c>
      <c r="D274" s="8" t="s">
        <v>28</v>
      </c>
      <c r="E274" s="8" t="s">
        <v>33</v>
      </c>
      <c r="F274" s="8" t="s">
        <v>33</v>
      </c>
      <c r="G274" s="11">
        <v>0</v>
      </c>
      <c r="H274" s="11">
        <v>0.45036794227206151</v>
      </c>
      <c r="I274" s="11">
        <v>6.3170939991916364E-2</v>
      </c>
      <c r="J274" s="11">
        <v>0.91605902538235162</v>
      </c>
      <c r="K274" s="11">
        <v>59.818804156881647</v>
      </c>
      <c r="L274" s="11">
        <v>44.251155441805381</v>
      </c>
      <c r="M274" s="11">
        <v>219.38476491375911</v>
      </c>
    </row>
    <row r="275" spans="1:13" x14ac:dyDescent="0.25">
      <c r="A275" s="6">
        <v>49</v>
      </c>
      <c r="B275" s="6" t="s">
        <v>273</v>
      </c>
      <c r="C275" s="6" t="s">
        <v>300</v>
      </c>
      <c r="D275" s="6" t="s">
        <v>28</v>
      </c>
      <c r="E275" s="6" t="s">
        <v>33</v>
      </c>
      <c r="F275" s="6" t="s">
        <v>33</v>
      </c>
      <c r="G275" s="10">
        <v>0</v>
      </c>
      <c r="H275" s="10">
        <v>0.24021946013287521</v>
      </c>
      <c r="I275" s="10">
        <v>0.21586370090681031</v>
      </c>
      <c r="J275" s="10">
        <v>0.59248667710547542</v>
      </c>
      <c r="K275" s="10">
        <v>70.784207486832642</v>
      </c>
      <c r="L275" s="10">
        <v>57.217170971545229</v>
      </c>
      <c r="M275" s="10">
        <v>194.703693789026</v>
      </c>
    </row>
    <row r="276" spans="1:13" x14ac:dyDescent="0.25">
      <c r="A276" s="8">
        <v>49</v>
      </c>
      <c r="B276" s="8" t="s">
        <v>273</v>
      </c>
      <c r="C276" s="8" t="s">
        <v>301</v>
      </c>
      <c r="D276" s="8" t="s">
        <v>28</v>
      </c>
      <c r="E276" s="8" t="s">
        <v>33</v>
      </c>
      <c r="F276" s="8" t="s">
        <v>33</v>
      </c>
      <c r="G276" s="11">
        <v>0</v>
      </c>
      <c r="H276" s="11">
        <v>0.4185697978984132</v>
      </c>
      <c r="I276" s="11">
        <v>0.428265735708522</v>
      </c>
      <c r="J276" s="11">
        <v>0.46660244135921242</v>
      </c>
      <c r="K276" s="11">
        <v>35.974181316756393</v>
      </c>
      <c r="L276" s="11">
        <v>28.82664857731616</v>
      </c>
      <c r="M276" s="11">
        <v>258.01087185827743</v>
      </c>
    </row>
    <row r="277" spans="1:13" x14ac:dyDescent="0.25">
      <c r="A277" s="6">
        <v>50</v>
      </c>
      <c r="B277" s="6" t="s">
        <v>277</v>
      </c>
      <c r="C277" s="6" t="s">
        <v>300</v>
      </c>
      <c r="D277" s="6" t="s">
        <v>28</v>
      </c>
      <c r="E277" s="6" t="s">
        <v>33</v>
      </c>
      <c r="F277" s="6" t="s">
        <v>33</v>
      </c>
      <c r="G277" s="10">
        <v>8.8935996553685642E-2</v>
      </c>
      <c r="H277" s="10">
        <v>0.32793162569742029</v>
      </c>
      <c r="I277" s="10">
        <v>7.129119195051567E-2</v>
      </c>
      <c r="J277" s="10">
        <v>0.58798551523868015</v>
      </c>
      <c r="K277" s="10">
        <v>64.436710906579819</v>
      </c>
      <c r="L277" s="10">
        <v>54.476327256366737</v>
      </c>
      <c r="M277" s="10">
        <v>206.47677975070661</v>
      </c>
    </row>
    <row r="278" spans="1:13" x14ac:dyDescent="0.25">
      <c r="A278" s="8">
        <v>50</v>
      </c>
      <c r="B278" s="8" t="s">
        <v>277</v>
      </c>
      <c r="C278" s="8" t="s">
        <v>301</v>
      </c>
      <c r="D278" s="8" t="s">
        <v>28</v>
      </c>
      <c r="E278" s="8" t="s">
        <v>33</v>
      </c>
      <c r="F278" s="8" t="s">
        <v>33</v>
      </c>
      <c r="G278" s="11">
        <v>0</v>
      </c>
      <c r="H278" s="11">
        <v>0.45036794227206151</v>
      </c>
      <c r="I278" s="11">
        <v>6.3170939991916364E-2</v>
      </c>
      <c r="J278" s="11">
        <v>0.93014040423638877</v>
      </c>
      <c r="K278" s="11">
        <v>59.921886497585753</v>
      </c>
      <c r="L278" s="11">
        <v>44.514803191227927</v>
      </c>
      <c r="M278" s="11">
        <v>220.25377341913091</v>
      </c>
    </row>
    <row r="279" spans="1:13" x14ac:dyDescent="0.25">
      <c r="A279" s="6">
        <v>51</v>
      </c>
      <c r="B279" s="6" t="s">
        <v>281</v>
      </c>
      <c r="C279" s="6" t="s">
        <v>300</v>
      </c>
      <c r="D279" s="6" t="s">
        <v>28</v>
      </c>
      <c r="E279" s="6" t="s">
        <v>29</v>
      </c>
      <c r="F279" s="6" t="s">
        <v>96</v>
      </c>
      <c r="G279" s="10">
        <v>0</v>
      </c>
      <c r="H279" s="10">
        <v>0.59332623218911007</v>
      </c>
      <c r="I279" s="10">
        <v>0.60827748536033199</v>
      </c>
      <c r="J279" s="10">
        <v>0.30723605634976031</v>
      </c>
      <c r="K279" s="10">
        <v>47.848227987467823</v>
      </c>
      <c r="L279" s="10">
        <v>34.798057659764133</v>
      </c>
      <c r="M279" s="10">
        <v>69.521351283950381</v>
      </c>
    </row>
    <row r="280" spans="1:13" x14ac:dyDescent="0.25">
      <c r="A280" s="8">
        <v>51</v>
      </c>
      <c r="B280" s="8" t="s">
        <v>281</v>
      </c>
      <c r="C280" s="8" t="s">
        <v>301</v>
      </c>
      <c r="D280" s="8" t="s">
        <v>28</v>
      </c>
      <c r="E280" s="8" t="s">
        <v>29</v>
      </c>
      <c r="F280" s="8" t="s">
        <v>96</v>
      </c>
      <c r="G280" s="11">
        <v>0</v>
      </c>
      <c r="H280" s="11">
        <v>0.65269298090049266</v>
      </c>
      <c r="I280" s="11">
        <v>1.4671353884529701</v>
      </c>
      <c r="J280" s="11">
        <v>1.325529204266642</v>
      </c>
      <c r="K280" s="11">
        <v>32.194796924640961</v>
      </c>
      <c r="L280" s="11">
        <v>24.26414905968165</v>
      </c>
      <c r="M280" s="11">
        <v>93.626436720487092</v>
      </c>
    </row>
    <row r="281" spans="1:13" x14ac:dyDescent="0.25">
      <c r="A281" s="6">
        <v>52</v>
      </c>
      <c r="B281" s="6" t="s">
        <v>283</v>
      </c>
      <c r="C281" s="6" t="s">
        <v>300</v>
      </c>
      <c r="D281" s="6" t="s">
        <v>28</v>
      </c>
      <c r="E281" s="6" t="s">
        <v>29</v>
      </c>
      <c r="F281" s="6" t="s">
        <v>130</v>
      </c>
      <c r="G281" s="10">
        <v>0</v>
      </c>
      <c r="H281" s="10">
        <v>0.1862366457606098</v>
      </c>
      <c r="I281" s="10">
        <v>0.29756116596851101</v>
      </c>
      <c r="J281" s="10">
        <v>1.4208131798353429</v>
      </c>
      <c r="K281" s="10">
        <v>52.756028546138587</v>
      </c>
      <c r="L281" s="10">
        <v>37.953041680685587</v>
      </c>
      <c r="M281" s="10">
        <v>58.946475557855408</v>
      </c>
    </row>
    <row r="282" spans="1:13" x14ac:dyDescent="0.25">
      <c r="A282" s="8">
        <v>52</v>
      </c>
      <c r="B282" s="8" t="s">
        <v>283</v>
      </c>
      <c r="C282" s="8" t="s">
        <v>301</v>
      </c>
      <c r="D282" s="8" t="s">
        <v>28</v>
      </c>
      <c r="E282" s="8" t="s">
        <v>29</v>
      </c>
      <c r="F282" s="8" t="s">
        <v>130</v>
      </c>
      <c r="G282" s="11">
        <v>0</v>
      </c>
      <c r="H282" s="11">
        <v>0.36612590067079281</v>
      </c>
      <c r="I282" s="11">
        <v>0.5256426997626461</v>
      </c>
      <c r="J282" s="11">
        <v>1.2052897532145439</v>
      </c>
      <c r="K282" s="11">
        <v>29.795163922103889</v>
      </c>
      <c r="L282" s="11">
        <v>24.547360757977579</v>
      </c>
      <c r="M282" s="11">
        <v>95.669722271772159</v>
      </c>
    </row>
    <row r="283" spans="1:13" x14ac:dyDescent="0.25">
      <c r="A283" s="6">
        <v>53</v>
      </c>
      <c r="B283" s="6" t="s">
        <v>287</v>
      </c>
      <c r="C283" s="6" t="s">
        <v>300</v>
      </c>
      <c r="D283" s="6" t="s">
        <v>28</v>
      </c>
      <c r="E283" s="6" t="s">
        <v>31</v>
      </c>
      <c r="F283" s="6" t="s">
        <v>31</v>
      </c>
      <c r="G283" s="10">
        <v>5.2222732101069563E-2</v>
      </c>
      <c r="H283" s="10">
        <v>0.12701409600270411</v>
      </c>
      <c r="I283" s="10">
        <v>3.1548608690509579E-2</v>
      </c>
      <c r="J283" s="10">
        <v>0.16750319091501231</v>
      </c>
      <c r="K283" s="10">
        <v>59.942098202755432</v>
      </c>
      <c r="L283" s="10">
        <v>53.823119668093447</v>
      </c>
      <c r="M283" s="10">
        <v>211.265551707941</v>
      </c>
    </row>
    <row r="284" spans="1:13" x14ac:dyDescent="0.25">
      <c r="A284" s="8">
        <v>53</v>
      </c>
      <c r="B284" s="8" t="s">
        <v>287</v>
      </c>
      <c r="C284" s="8" t="s">
        <v>301</v>
      </c>
      <c r="D284" s="8" t="s">
        <v>28</v>
      </c>
      <c r="E284" s="8" t="s">
        <v>31</v>
      </c>
      <c r="F284" s="8" t="s">
        <v>31</v>
      </c>
      <c r="G284" s="11">
        <v>0</v>
      </c>
      <c r="H284" s="11">
        <v>2.1664931883547331E-3</v>
      </c>
      <c r="I284" s="11">
        <v>4.085835435001741E-2</v>
      </c>
      <c r="J284" s="11">
        <v>0.36129624957342932</v>
      </c>
      <c r="K284" s="11">
        <v>42.408761093682124</v>
      </c>
      <c r="L284" s="11">
        <v>30.728695534576911</v>
      </c>
      <c r="M284" s="11">
        <v>251.55385390647561</v>
      </c>
    </row>
    <row r="285" spans="1:13" x14ac:dyDescent="0.25">
      <c r="A285" s="6">
        <v>54</v>
      </c>
      <c r="B285" s="6" t="s">
        <v>289</v>
      </c>
      <c r="C285" s="6" t="s">
        <v>300</v>
      </c>
      <c r="D285" s="6" t="s">
        <v>28</v>
      </c>
      <c r="E285" s="6" t="s">
        <v>33</v>
      </c>
      <c r="F285" s="6" t="s">
        <v>33</v>
      </c>
      <c r="G285" s="10">
        <v>8.8935996553685642E-2</v>
      </c>
      <c r="H285" s="10">
        <v>0.32793162569742029</v>
      </c>
      <c r="I285" s="10">
        <v>0.10141816483241591</v>
      </c>
      <c r="J285" s="10">
        <v>0.57665162648251256</v>
      </c>
      <c r="K285" s="10">
        <v>63.630851515328487</v>
      </c>
      <c r="L285" s="10">
        <v>53.728638461221273</v>
      </c>
      <c r="M285" s="10">
        <v>206.0150800117203</v>
      </c>
    </row>
    <row r="286" spans="1:13" x14ac:dyDescent="0.25">
      <c r="A286" s="8">
        <v>54</v>
      </c>
      <c r="B286" s="8" t="s">
        <v>289</v>
      </c>
      <c r="C286" s="8" t="s">
        <v>301</v>
      </c>
      <c r="D286" s="8" t="s">
        <v>28</v>
      </c>
      <c r="E286" s="8" t="s">
        <v>33</v>
      </c>
      <c r="F286" s="8" t="s">
        <v>33</v>
      </c>
      <c r="G286" s="11">
        <v>0</v>
      </c>
      <c r="H286" s="11">
        <v>0.44236745429158209</v>
      </c>
      <c r="I286" s="11">
        <v>0.428265735708522</v>
      </c>
      <c r="J286" s="11">
        <v>0.51104472499002784</v>
      </c>
      <c r="K286" s="11">
        <v>36.406613940185977</v>
      </c>
      <c r="L286" s="11">
        <v>29.047822987177661</v>
      </c>
      <c r="M286" s="11">
        <v>258.19733356892652</v>
      </c>
    </row>
  </sheetData>
  <autoFilter ref="A178:M286"/>
  <mergeCells count="3">
    <mergeCell ref="A61:M61"/>
    <mergeCell ref="A1:R1"/>
    <mergeCell ref="A175:M17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7" width="22" customWidth="1"/>
    <col min="8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303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</v>
      </c>
      <c r="B5" s="6" t="s">
        <v>75</v>
      </c>
      <c r="C5" s="6" t="s">
        <v>44</v>
      </c>
      <c r="D5" s="6" t="s">
        <v>28</v>
      </c>
      <c r="E5" s="6" t="s">
        <v>35</v>
      </c>
      <c r="F5" s="6" t="s">
        <v>76</v>
      </c>
      <c r="G5" s="6" t="s">
        <v>77</v>
      </c>
      <c r="H5" s="6" t="s">
        <v>78</v>
      </c>
      <c r="I5" s="10">
        <v>305.16658691227991</v>
      </c>
      <c r="J5" s="10">
        <v>310.4742418277487</v>
      </c>
      <c r="K5" s="10">
        <v>343.84039999999999</v>
      </c>
      <c r="L5" s="10">
        <v>311.50751666666667</v>
      </c>
      <c r="M5" s="6" t="s">
        <v>79</v>
      </c>
      <c r="N5" s="6" t="s">
        <v>80</v>
      </c>
      <c r="O5" s="6" t="s">
        <v>81</v>
      </c>
      <c r="P5" s="6" t="s">
        <v>82</v>
      </c>
      <c r="Q5" s="10">
        <v>69.11154120244322</v>
      </c>
      <c r="R5" s="10">
        <v>63.460767866371931</v>
      </c>
    </row>
    <row r="6" spans="1:18" x14ac:dyDescent="0.25">
      <c r="A6" s="8">
        <v>2</v>
      </c>
      <c r="B6" s="8" t="s">
        <v>83</v>
      </c>
      <c r="C6" s="8" t="s">
        <v>44</v>
      </c>
      <c r="D6" s="8" t="s">
        <v>28</v>
      </c>
      <c r="E6" s="8" t="s">
        <v>35</v>
      </c>
      <c r="F6" s="8" t="s">
        <v>76</v>
      </c>
      <c r="G6" s="8" t="s">
        <v>77</v>
      </c>
      <c r="H6" s="8" t="s">
        <v>84</v>
      </c>
      <c r="I6" s="11">
        <v>305.10727765948627</v>
      </c>
      <c r="J6" s="11">
        <v>305.2160753980956</v>
      </c>
      <c r="K6" s="11">
        <v>343.84039999999999</v>
      </c>
      <c r="L6" s="11">
        <v>299.01821666666672</v>
      </c>
      <c r="M6" s="8" t="s">
        <v>79</v>
      </c>
      <c r="N6" s="8" t="s">
        <v>80</v>
      </c>
      <c r="O6" s="8" t="s">
        <v>85</v>
      </c>
      <c r="P6" s="8" t="s">
        <v>86</v>
      </c>
      <c r="Q6" s="11">
        <v>69.098086819344246</v>
      </c>
      <c r="R6" s="11">
        <v>66.422255950595925</v>
      </c>
    </row>
    <row r="7" spans="1:18" x14ac:dyDescent="0.25">
      <c r="A7" s="6">
        <v>3</v>
      </c>
      <c r="B7" s="6" t="s">
        <v>87</v>
      </c>
      <c r="C7" s="6" t="s">
        <v>44</v>
      </c>
      <c r="D7" s="6" t="s">
        <v>28</v>
      </c>
      <c r="E7" s="6" t="s">
        <v>35</v>
      </c>
      <c r="F7" s="6" t="s">
        <v>88</v>
      </c>
      <c r="G7" s="6" t="s">
        <v>89</v>
      </c>
      <c r="H7" s="6" t="s">
        <v>90</v>
      </c>
      <c r="I7" s="10">
        <v>320.33950971072761</v>
      </c>
      <c r="J7" s="10">
        <v>320.68901803404901</v>
      </c>
      <c r="K7" s="10">
        <v>345.61666666666667</v>
      </c>
      <c r="L7" s="10">
        <v>358.39743333333331</v>
      </c>
      <c r="M7" s="6" t="s">
        <v>91</v>
      </c>
      <c r="N7" s="6" t="s">
        <v>92</v>
      </c>
      <c r="O7" s="6" t="s">
        <v>93</v>
      </c>
      <c r="P7" s="6" t="s">
        <v>94</v>
      </c>
      <c r="Q7" s="10">
        <v>64.616756627859615</v>
      </c>
      <c r="R7" s="10">
        <v>59.679115606607731</v>
      </c>
    </row>
    <row r="8" spans="1:18" x14ac:dyDescent="0.25">
      <c r="A8" s="8">
        <v>4</v>
      </c>
      <c r="B8" s="8" t="s">
        <v>95</v>
      </c>
      <c r="C8" s="8" t="s">
        <v>42</v>
      </c>
      <c r="D8" s="8" t="s">
        <v>28</v>
      </c>
      <c r="E8" s="8" t="s">
        <v>29</v>
      </c>
      <c r="F8" s="8" t="s">
        <v>96</v>
      </c>
      <c r="G8" s="8" t="s">
        <v>97</v>
      </c>
      <c r="H8" s="8" t="s">
        <v>97</v>
      </c>
      <c r="I8" s="11">
        <v>148.19876902377749</v>
      </c>
      <c r="J8" s="11">
        <v>148.1254196841063</v>
      </c>
      <c r="K8" s="11">
        <v>240.44363333333331</v>
      </c>
      <c r="L8" s="11">
        <v>274.35000000000002</v>
      </c>
      <c r="M8" s="8" t="s">
        <v>98</v>
      </c>
      <c r="N8" s="8" t="s">
        <v>99</v>
      </c>
      <c r="O8" s="8" t="s">
        <v>100</v>
      </c>
      <c r="P8" s="8" t="s">
        <v>101</v>
      </c>
      <c r="Q8" s="11">
        <v>42.808105641290943</v>
      </c>
      <c r="R8" s="11">
        <v>44.784536201483498</v>
      </c>
    </row>
    <row r="9" spans="1:18" x14ac:dyDescent="0.25">
      <c r="A9" s="6">
        <v>5</v>
      </c>
      <c r="B9" s="6" t="s">
        <v>102</v>
      </c>
      <c r="C9" s="6" t="s">
        <v>44</v>
      </c>
      <c r="D9" s="6" t="s">
        <v>28</v>
      </c>
      <c r="E9" s="6" t="s">
        <v>29</v>
      </c>
      <c r="F9" s="6" t="s">
        <v>96</v>
      </c>
      <c r="G9" s="6" t="s">
        <v>97</v>
      </c>
      <c r="H9" s="6" t="s">
        <v>103</v>
      </c>
      <c r="I9" s="10">
        <v>141.62200313375999</v>
      </c>
      <c r="J9" s="10">
        <v>141.6711046862772</v>
      </c>
      <c r="K9" s="10">
        <v>209.59191666666669</v>
      </c>
      <c r="L9" s="10">
        <v>221.15</v>
      </c>
      <c r="M9" s="6" t="s">
        <v>104</v>
      </c>
      <c r="N9" s="6" t="s">
        <v>105</v>
      </c>
      <c r="O9" s="6" t="s">
        <v>106</v>
      </c>
      <c r="P9" s="6" t="s">
        <v>107</v>
      </c>
      <c r="Q9" s="10">
        <v>47.253841991330667</v>
      </c>
      <c r="R9" s="10">
        <v>44.821614085784937</v>
      </c>
    </row>
    <row r="10" spans="1:18" x14ac:dyDescent="0.25">
      <c r="A10" s="8">
        <v>6</v>
      </c>
      <c r="B10" s="8" t="s">
        <v>108</v>
      </c>
      <c r="C10" s="8" t="s">
        <v>44</v>
      </c>
      <c r="D10" s="8" t="s">
        <v>28</v>
      </c>
      <c r="E10" s="8" t="s">
        <v>29</v>
      </c>
      <c r="F10" s="8" t="s">
        <v>96</v>
      </c>
      <c r="G10" s="8" t="s">
        <v>103</v>
      </c>
      <c r="H10" s="8" t="s">
        <v>97</v>
      </c>
      <c r="I10" s="11">
        <v>148.20841194532801</v>
      </c>
      <c r="J10" s="11">
        <v>148.15021957391201</v>
      </c>
      <c r="K10" s="11">
        <v>221.51708333333329</v>
      </c>
      <c r="L10" s="11">
        <v>274.35000000000002</v>
      </c>
      <c r="M10" s="8" t="s">
        <v>109</v>
      </c>
      <c r="N10" s="8" t="s">
        <v>110</v>
      </c>
      <c r="O10" s="8" t="s">
        <v>100</v>
      </c>
      <c r="P10" s="8" t="s">
        <v>101</v>
      </c>
      <c r="Q10" s="11">
        <v>49.306618200865557</v>
      </c>
      <c r="R10" s="11">
        <v>44.79217019920052</v>
      </c>
    </row>
    <row r="11" spans="1:18" x14ac:dyDescent="0.25">
      <c r="A11" s="6">
        <v>7</v>
      </c>
      <c r="B11" s="6" t="s">
        <v>111</v>
      </c>
      <c r="C11" s="6" t="s">
        <v>44</v>
      </c>
      <c r="D11" s="6" t="s">
        <v>28</v>
      </c>
      <c r="E11" s="6" t="s">
        <v>29</v>
      </c>
      <c r="F11" s="6" t="s">
        <v>96</v>
      </c>
      <c r="G11" s="6" t="s">
        <v>97</v>
      </c>
      <c r="H11" s="6" t="s">
        <v>112</v>
      </c>
      <c r="I11" s="10">
        <v>146.1103622297162</v>
      </c>
      <c r="J11" s="10">
        <v>146.19417039093929</v>
      </c>
      <c r="K11" s="10">
        <v>232.89156666666659</v>
      </c>
      <c r="L11" s="10">
        <v>269.21666666666658</v>
      </c>
      <c r="M11" s="6" t="s">
        <v>113</v>
      </c>
      <c r="N11" s="6" t="s">
        <v>114</v>
      </c>
      <c r="O11" s="6" t="s">
        <v>115</v>
      </c>
      <c r="P11" s="6" t="s">
        <v>116</v>
      </c>
      <c r="Q11" s="10">
        <v>44.761538696895471</v>
      </c>
      <c r="R11" s="10">
        <v>44.849027767870119</v>
      </c>
    </row>
    <row r="12" spans="1:18" x14ac:dyDescent="0.25">
      <c r="A12" s="8">
        <v>8</v>
      </c>
      <c r="B12" s="8" t="s">
        <v>117</v>
      </c>
      <c r="C12" s="8" t="s">
        <v>44</v>
      </c>
      <c r="D12" s="8" t="s">
        <v>28</v>
      </c>
      <c r="E12" s="8" t="s">
        <v>29</v>
      </c>
      <c r="F12" s="8" t="s">
        <v>96</v>
      </c>
      <c r="G12" s="8" t="s">
        <v>112</v>
      </c>
      <c r="H12" s="8" t="s">
        <v>97</v>
      </c>
      <c r="I12" s="11">
        <v>147.80638088976619</v>
      </c>
      <c r="J12" s="11">
        <v>147.73470822438651</v>
      </c>
      <c r="K12" s="11">
        <v>199.78013333333331</v>
      </c>
      <c r="L12" s="11">
        <v>272.70876666666669</v>
      </c>
      <c r="M12" s="8" t="s">
        <v>118</v>
      </c>
      <c r="N12" s="8" t="s">
        <v>119</v>
      </c>
      <c r="O12" s="8" t="s">
        <v>120</v>
      </c>
      <c r="P12" s="8" t="s">
        <v>101</v>
      </c>
      <c r="Q12" s="11">
        <v>48.109431090638452</v>
      </c>
      <c r="R12" s="11">
        <v>45.043540593222318</v>
      </c>
    </row>
    <row r="13" spans="1:18" x14ac:dyDescent="0.25">
      <c r="A13" s="6">
        <v>9</v>
      </c>
      <c r="B13" s="6" t="s">
        <v>121</v>
      </c>
      <c r="C13" s="6" t="s">
        <v>44</v>
      </c>
      <c r="D13" s="6" t="s">
        <v>28</v>
      </c>
      <c r="E13" s="6" t="s">
        <v>29</v>
      </c>
      <c r="F13" s="6" t="s">
        <v>96</v>
      </c>
      <c r="G13" s="6" t="s">
        <v>97</v>
      </c>
      <c r="H13" s="6" t="s">
        <v>122</v>
      </c>
      <c r="I13" s="10">
        <v>153.53484415159559</v>
      </c>
      <c r="J13" s="10">
        <v>153.5526617847118</v>
      </c>
      <c r="K13" s="10">
        <v>299.50470000000001</v>
      </c>
      <c r="L13" s="10">
        <v>285.56666666666672</v>
      </c>
      <c r="M13" s="6" t="s">
        <v>123</v>
      </c>
      <c r="N13" s="6" t="s">
        <v>105</v>
      </c>
      <c r="O13" s="6" t="s">
        <v>124</v>
      </c>
      <c r="P13" s="6" t="s">
        <v>125</v>
      </c>
      <c r="Q13" s="10">
        <v>41.136903244122031</v>
      </c>
      <c r="R13" s="10">
        <v>41.353121466683596</v>
      </c>
    </row>
    <row r="14" spans="1:18" x14ac:dyDescent="0.25">
      <c r="A14" s="8">
        <v>10</v>
      </c>
      <c r="B14" s="8" t="s">
        <v>126</v>
      </c>
      <c r="C14" s="8" t="s">
        <v>44</v>
      </c>
      <c r="D14" s="8" t="s">
        <v>28</v>
      </c>
      <c r="E14" s="8" t="s">
        <v>29</v>
      </c>
      <c r="F14" s="8" t="s">
        <v>96</v>
      </c>
      <c r="G14" s="8" t="s">
        <v>122</v>
      </c>
      <c r="H14" s="8" t="s">
        <v>97</v>
      </c>
      <c r="I14" s="11">
        <v>148.4081122812309</v>
      </c>
      <c r="J14" s="11">
        <v>148.16934205197421</v>
      </c>
      <c r="K14" s="11">
        <v>247.26765</v>
      </c>
      <c r="L14" s="11">
        <v>274.35000000000002</v>
      </c>
      <c r="M14" s="8" t="s">
        <v>127</v>
      </c>
      <c r="N14" s="8" t="s">
        <v>128</v>
      </c>
      <c r="O14" s="8" t="s">
        <v>100</v>
      </c>
      <c r="P14" s="8" t="s">
        <v>101</v>
      </c>
      <c r="Q14" s="11">
        <v>47.637753211593449</v>
      </c>
      <c r="R14" s="11">
        <v>44.798056554140558</v>
      </c>
    </row>
    <row r="15" spans="1:18" x14ac:dyDescent="0.25">
      <c r="A15" s="6">
        <v>11</v>
      </c>
      <c r="B15" s="6" t="s">
        <v>129</v>
      </c>
      <c r="C15" s="6" t="s">
        <v>42</v>
      </c>
      <c r="D15" s="6" t="s">
        <v>28</v>
      </c>
      <c r="E15" s="6" t="s">
        <v>29</v>
      </c>
      <c r="F15" s="6" t="s">
        <v>130</v>
      </c>
      <c r="G15" s="6" t="s">
        <v>131</v>
      </c>
      <c r="H15" s="6" t="s">
        <v>131</v>
      </c>
      <c r="I15" s="10">
        <v>143.67832745765901</v>
      </c>
      <c r="J15" s="10">
        <v>143.70610311558761</v>
      </c>
      <c r="K15" s="10">
        <v>241.37365</v>
      </c>
      <c r="L15" s="10">
        <v>241.6157666666667</v>
      </c>
      <c r="M15" s="6" t="s">
        <v>132</v>
      </c>
      <c r="N15" s="6" t="s">
        <v>133</v>
      </c>
      <c r="O15" s="6" t="s">
        <v>134</v>
      </c>
      <c r="P15" s="6" t="s">
        <v>135</v>
      </c>
      <c r="Q15" s="10">
        <v>44.633872553714347</v>
      </c>
      <c r="R15" s="10">
        <v>42.341883574137007</v>
      </c>
    </row>
    <row r="16" spans="1:18" x14ac:dyDescent="0.25">
      <c r="A16" s="8">
        <v>12</v>
      </c>
      <c r="B16" s="8" t="s">
        <v>136</v>
      </c>
      <c r="C16" s="8" t="s">
        <v>44</v>
      </c>
      <c r="D16" s="8" t="s">
        <v>28</v>
      </c>
      <c r="E16" s="8" t="s">
        <v>29</v>
      </c>
      <c r="F16" s="8" t="s">
        <v>130</v>
      </c>
      <c r="G16" s="8" t="s">
        <v>131</v>
      </c>
      <c r="H16" s="8" t="s">
        <v>137</v>
      </c>
      <c r="I16" s="11">
        <v>136.6906978560236</v>
      </c>
      <c r="J16" s="11">
        <v>137.9070606846193</v>
      </c>
      <c r="K16" s="11">
        <v>199.88373333333331</v>
      </c>
      <c r="L16" s="11">
        <v>231.8833333333333</v>
      </c>
      <c r="M16" s="8" t="s">
        <v>132</v>
      </c>
      <c r="N16" s="8" t="s">
        <v>138</v>
      </c>
      <c r="O16" s="8" t="s">
        <v>139</v>
      </c>
      <c r="P16" s="8" t="s">
        <v>140</v>
      </c>
      <c r="Q16" s="11">
        <v>48.732283159784458</v>
      </c>
      <c r="R16" s="11">
        <v>40.295521200628478</v>
      </c>
    </row>
    <row r="17" spans="1:18" x14ac:dyDescent="0.25">
      <c r="A17" s="6">
        <v>13</v>
      </c>
      <c r="B17" s="6" t="s">
        <v>141</v>
      </c>
      <c r="C17" s="6" t="s">
        <v>44</v>
      </c>
      <c r="D17" s="6" t="s">
        <v>28</v>
      </c>
      <c r="E17" s="6" t="s">
        <v>29</v>
      </c>
      <c r="F17" s="6" t="s">
        <v>130</v>
      </c>
      <c r="G17" s="6" t="s">
        <v>137</v>
      </c>
      <c r="H17" s="6" t="s">
        <v>131</v>
      </c>
      <c r="I17" s="10">
        <v>144.86907862959839</v>
      </c>
      <c r="J17" s="10">
        <v>143.72466993648419</v>
      </c>
      <c r="K17" s="10">
        <v>251.7108833333333</v>
      </c>
      <c r="L17" s="10">
        <v>241.6157666666667</v>
      </c>
      <c r="M17" s="6" t="s">
        <v>142</v>
      </c>
      <c r="N17" s="6" t="s">
        <v>143</v>
      </c>
      <c r="O17" s="6" t="s">
        <v>134</v>
      </c>
      <c r="P17" s="6" t="s">
        <v>135</v>
      </c>
      <c r="Q17" s="10">
        <v>40.963129251036513</v>
      </c>
      <c r="R17" s="10">
        <v>42.341899372018943</v>
      </c>
    </row>
    <row r="18" spans="1:18" x14ac:dyDescent="0.25">
      <c r="A18" s="8">
        <v>14</v>
      </c>
      <c r="B18" s="8" t="s">
        <v>144</v>
      </c>
      <c r="C18" s="8" t="s">
        <v>44</v>
      </c>
      <c r="D18" s="8" t="s">
        <v>28</v>
      </c>
      <c r="E18" s="8" t="s">
        <v>29</v>
      </c>
      <c r="F18" s="8" t="s">
        <v>130</v>
      </c>
      <c r="G18" s="8" t="s">
        <v>131</v>
      </c>
      <c r="H18" s="8" t="s">
        <v>145</v>
      </c>
      <c r="I18" s="11">
        <v>123.91859568577109</v>
      </c>
      <c r="J18" s="11">
        <v>123.941936072907</v>
      </c>
      <c r="K18" s="11">
        <v>205.75388333333331</v>
      </c>
      <c r="L18" s="11">
        <v>194.95840000000001</v>
      </c>
      <c r="M18" s="8" t="s">
        <v>146</v>
      </c>
      <c r="N18" s="8" t="s">
        <v>147</v>
      </c>
      <c r="O18" s="8" t="s">
        <v>148</v>
      </c>
      <c r="P18" s="8" t="s">
        <v>149</v>
      </c>
      <c r="Q18" s="11">
        <v>44.923872976769658</v>
      </c>
      <c r="R18" s="11">
        <v>42.762032180854042</v>
      </c>
    </row>
    <row r="19" spans="1:18" x14ac:dyDescent="0.25">
      <c r="A19" s="6">
        <v>15</v>
      </c>
      <c r="B19" s="6" t="s">
        <v>150</v>
      </c>
      <c r="C19" s="6" t="s">
        <v>44</v>
      </c>
      <c r="D19" s="6" t="s">
        <v>28</v>
      </c>
      <c r="E19" s="6" t="s">
        <v>29</v>
      </c>
      <c r="F19" s="6" t="s">
        <v>130</v>
      </c>
      <c r="G19" s="6" t="s">
        <v>145</v>
      </c>
      <c r="H19" s="6" t="s">
        <v>131</v>
      </c>
      <c r="I19" s="10">
        <v>143.71555961314201</v>
      </c>
      <c r="J19" s="10">
        <v>143.70301098845081</v>
      </c>
      <c r="K19" s="10">
        <v>223.04198333333329</v>
      </c>
      <c r="L19" s="10">
        <v>241.6157666666667</v>
      </c>
      <c r="M19" s="6" t="s">
        <v>151</v>
      </c>
      <c r="N19" s="6" t="s">
        <v>152</v>
      </c>
      <c r="O19" s="6" t="s">
        <v>134</v>
      </c>
      <c r="P19" s="6" t="s">
        <v>135</v>
      </c>
      <c r="Q19" s="10">
        <v>46.2946098216972</v>
      </c>
      <c r="R19" s="10">
        <v>42.341452090744298</v>
      </c>
    </row>
    <row r="20" spans="1:18" x14ac:dyDescent="0.25">
      <c r="A20" s="8">
        <v>16</v>
      </c>
      <c r="B20" s="8" t="s">
        <v>153</v>
      </c>
      <c r="C20" s="8" t="s">
        <v>44</v>
      </c>
      <c r="D20" s="8" t="s">
        <v>28</v>
      </c>
      <c r="E20" s="8" t="s">
        <v>29</v>
      </c>
      <c r="F20" s="8" t="s">
        <v>130</v>
      </c>
      <c r="G20" s="8" t="s">
        <v>131</v>
      </c>
      <c r="H20" s="8" t="s">
        <v>154</v>
      </c>
      <c r="I20" s="11">
        <v>152.2392917821083</v>
      </c>
      <c r="J20" s="11">
        <v>153.94759024770309</v>
      </c>
      <c r="K20" s="11">
        <v>276.10219999999998</v>
      </c>
      <c r="L20" s="11">
        <v>291.35971666666671</v>
      </c>
      <c r="M20" s="8" t="s">
        <v>132</v>
      </c>
      <c r="N20" s="8" t="s">
        <v>155</v>
      </c>
      <c r="O20" s="8" t="s">
        <v>156</v>
      </c>
      <c r="P20" s="8" t="s">
        <v>157</v>
      </c>
      <c r="Q20" s="11">
        <v>40.355745492660311</v>
      </c>
      <c r="R20" s="11">
        <v>36.021923037796739</v>
      </c>
    </row>
    <row r="21" spans="1:18" x14ac:dyDescent="0.25">
      <c r="A21" s="6">
        <v>17</v>
      </c>
      <c r="B21" s="6" t="s">
        <v>158</v>
      </c>
      <c r="C21" s="6" t="s">
        <v>44</v>
      </c>
      <c r="D21" s="6" t="s">
        <v>28</v>
      </c>
      <c r="E21" s="6" t="s">
        <v>29</v>
      </c>
      <c r="F21" s="6" t="s">
        <v>130</v>
      </c>
      <c r="G21" s="6" t="s">
        <v>154</v>
      </c>
      <c r="H21" s="6" t="s">
        <v>131</v>
      </c>
      <c r="I21" s="10">
        <v>145.59876206835349</v>
      </c>
      <c r="J21" s="10">
        <v>143.81943712107361</v>
      </c>
      <c r="K21" s="10">
        <v>242.58760000000001</v>
      </c>
      <c r="L21" s="10">
        <v>242.52818333333329</v>
      </c>
      <c r="M21" s="6" t="s">
        <v>159</v>
      </c>
      <c r="N21" s="6" t="s">
        <v>160</v>
      </c>
      <c r="O21" s="6" t="s">
        <v>134</v>
      </c>
      <c r="P21" s="6" t="s">
        <v>161</v>
      </c>
      <c r="Q21" s="10">
        <v>44.70287136285296</v>
      </c>
      <c r="R21" s="10">
        <v>42.185773980476462</v>
      </c>
    </row>
    <row r="22" spans="1:18" x14ac:dyDescent="0.25">
      <c r="A22" s="8">
        <v>18</v>
      </c>
      <c r="B22" s="8" t="s">
        <v>162</v>
      </c>
      <c r="C22" s="8" t="s">
        <v>42</v>
      </c>
      <c r="D22" s="8" t="s">
        <v>28</v>
      </c>
      <c r="E22" s="8" t="s">
        <v>29</v>
      </c>
      <c r="F22" s="8" t="s">
        <v>96</v>
      </c>
      <c r="G22" s="8" t="s">
        <v>103</v>
      </c>
      <c r="H22" s="8" t="s">
        <v>103</v>
      </c>
      <c r="I22" s="11">
        <v>141.5990549680233</v>
      </c>
      <c r="J22" s="11">
        <v>141.66630570695861</v>
      </c>
      <c r="K22" s="11">
        <v>205.6434166666667</v>
      </c>
      <c r="L22" s="11">
        <v>221.15</v>
      </c>
      <c r="M22" s="8" t="s">
        <v>163</v>
      </c>
      <c r="N22" s="8" t="s">
        <v>164</v>
      </c>
      <c r="O22" s="8" t="s">
        <v>106</v>
      </c>
      <c r="P22" s="8" t="s">
        <v>107</v>
      </c>
      <c r="Q22" s="11">
        <v>51.089288821174947</v>
      </c>
      <c r="R22" s="11">
        <v>44.820093416341507</v>
      </c>
    </row>
    <row r="23" spans="1:18" x14ac:dyDescent="0.25">
      <c r="A23" s="6">
        <v>19</v>
      </c>
      <c r="B23" s="6" t="s">
        <v>165</v>
      </c>
      <c r="C23" s="6" t="s">
        <v>44</v>
      </c>
      <c r="D23" s="6" t="s">
        <v>28</v>
      </c>
      <c r="E23" s="6" t="s">
        <v>29</v>
      </c>
      <c r="F23" s="6" t="s">
        <v>96</v>
      </c>
      <c r="G23" s="6" t="s">
        <v>103</v>
      </c>
      <c r="H23" s="6" t="s">
        <v>112</v>
      </c>
      <c r="I23" s="10">
        <v>146.11778022672581</v>
      </c>
      <c r="J23" s="10">
        <v>146.22654761738161</v>
      </c>
      <c r="K23" s="10">
        <v>219.93658333333329</v>
      </c>
      <c r="L23" s="10">
        <v>269.21666666666658</v>
      </c>
      <c r="M23" s="6" t="s">
        <v>166</v>
      </c>
      <c r="N23" s="6" t="s">
        <v>167</v>
      </c>
      <c r="O23" s="6" t="s">
        <v>115</v>
      </c>
      <c r="P23" s="6" t="s">
        <v>116</v>
      </c>
      <c r="Q23" s="10">
        <v>48.977517926050687</v>
      </c>
      <c r="R23" s="10">
        <v>44.857641693697801</v>
      </c>
    </row>
    <row r="24" spans="1:18" x14ac:dyDescent="0.25">
      <c r="A24" s="8">
        <v>20</v>
      </c>
      <c r="B24" s="8" t="s">
        <v>168</v>
      </c>
      <c r="C24" s="8" t="s">
        <v>44</v>
      </c>
      <c r="D24" s="8" t="s">
        <v>28</v>
      </c>
      <c r="E24" s="8" t="s">
        <v>29</v>
      </c>
      <c r="F24" s="8" t="s">
        <v>96</v>
      </c>
      <c r="G24" s="8" t="s">
        <v>112</v>
      </c>
      <c r="H24" s="8" t="s">
        <v>103</v>
      </c>
      <c r="I24" s="11">
        <v>141.7178099447946</v>
      </c>
      <c r="J24" s="11">
        <v>141.71372942643819</v>
      </c>
      <c r="K24" s="11">
        <v>186.11555000000001</v>
      </c>
      <c r="L24" s="11">
        <v>221.15</v>
      </c>
      <c r="M24" s="8" t="s">
        <v>169</v>
      </c>
      <c r="N24" s="8" t="s">
        <v>170</v>
      </c>
      <c r="O24" s="8" t="s">
        <v>106</v>
      </c>
      <c r="P24" s="8" t="s">
        <v>107</v>
      </c>
      <c r="Q24" s="11">
        <v>48.979847646940023</v>
      </c>
      <c r="R24" s="11">
        <v>44.835120737011053</v>
      </c>
    </row>
    <row r="25" spans="1:18" x14ac:dyDescent="0.25">
      <c r="A25" s="6">
        <v>21</v>
      </c>
      <c r="B25" s="6" t="s">
        <v>171</v>
      </c>
      <c r="C25" s="6" t="s">
        <v>44</v>
      </c>
      <c r="D25" s="6" t="s">
        <v>28</v>
      </c>
      <c r="E25" s="6" t="s">
        <v>29</v>
      </c>
      <c r="F25" s="6" t="s">
        <v>96</v>
      </c>
      <c r="G25" s="6" t="s">
        <v>103</v>
      </c>
      <c r="H25" s="6" t="s">
        <v>122</v>
      </c>
      <c r="I25" s="10">
        <v>153.5802936448807</v>
      </c>
      <c r="J25" s="10">
        <v>153.58803621196651</v>
      </c>
      <c r="K25" s="10">
        <v>235.73150000000001</v>
      </c>
      <c r="L25" s="10">
        <v>285.56666666666672</v>
      </c>
      <c r="M25" s="6" t="s">
        <v>172</v>
      </c>
      <c r="N25" s="6" t="s">
        <v>164</v>
      </c>
      <c r="O25" s="6" t="s">
        <v>124</v>
      </c>
      <c r="P25" s="6" t="s">
        <v>125</v>
      </c>
      <c r="Q25" s="10">
        <v>47.722150024085572</v>
      </c>
      <c r="R25" s="10">
        <v>41.362781478677611</v>
      </c>
    </row>
    <row r="26" spans="1:18" x14ac:dyDescent="0.25">
      <c r="A26" s="8">
        <v>22</v>
      </c>
      <c r="B26" s="8" t="s">
        <v>173</v>
      </c>
      <c r="C26" s="8" t="s">
        <v>44</v>
      </c>
      <c r="D26" s="8" t="s">
        <v>28</v>
      </c>
      <c r="E26" s="8" t="s">
        <v>29</v>
      </c>
      <c r="F26" s="8" t="s">
        <v>96</v>
      </c>
      <c r="G26" s="8" t="s">
        <v>122</v>
      </c>
      <c r="H26" s="8" t="s">
        <v>103</v>
      </c>
      <c r="I26" s="11">
        <v>141.83173688616381</v>
      </c>
      <c r="J26" s="11">
        <v>141.67339805160449</v>
      </c>
      <c r="K26" s="11">
        <v>221.1224333333333</v>
      </c>
      <c r="L26" s="11">
        <v>221.15</v>
      </c>
      <c r="M26" s="8" t="s">
        <v>174</v>
      </c>
      <c r="N26" s="8" t="s">
        <v>175</v>
      </c>
      <c r="O26" s="8" t="s">
        <v>106</v>
      </c>
      <c r="P26" s="8" t="s">
        <v>107</v>
      </c>
      <c r="Q26" s="11">
        <v>49.270305864703857</v>
      </c>
      <c r="R26" s="11">
        <v>44.822340792516592</v>
      </c>
    </row>
    <row r="27" spans="1:18" x14ac:dyDescent="0.25">
      <c r="A27" s="6">
        <v>23</v>
      </c>
      <c r="B27" s="6" t="s">
        <v>176</v>
      </c>
      <c r="C27" s="6" t="s">
        <v>42</v>
      </c>
      <c r="D27" s="6" t="s">
        <v>28</v>
      </c>
      <c r="E27" s="6" t="s">
        <v>29</v>
      </c>
      <c r="F27" s="6" t="s">
        <v>130</v>
      </c>
      <c r="G27" s="6" t="s">
        <v>137</v>
      </c>
      <c r="H27" s="6" t="s">
        <v>137</v>
      </c>
      <c r="I27" s="10">
        <v>137.84785127876921</v>
      </c>
      <c r="J27" s="10">
        <v>137.9112374368539</v>
      </c>
      <c r="K27" s="10">
        <v>223.05115000000001</v>
      </c>
      <c r="L27" s="10">
        <v>231.8833333333333</v>
      </c>
      <c r="M27" s="6" t="s">
        <v>142</v>
      </c>
      <c r="N27" s="6" t="s">
        <v>177</v>
      </c>
      <c r="O27" s="6" t="s">
        <v>139</v>
      </c>
      <c r="P27" s="6" t="s">
        <v>140</v>
      </c>
      <c r="Q27" s="10">
        <v>43.489208200130058</v>
      </c>
      <c r="R27" s="10">
        <v>40.29129762507425</v>
      </c>
    </row>
    <row r="28" spans="1:18" x14ac:dyDescent="0.25">
      <c r="A28" s="8">
        <v>24</v>
      </c>
      <c r="B28" s="8" t="s">
        <v>178</v>
      </c>
      <c r="C28" s="8" t="s">
        <v>44</v>
      </c>
      <c r="D28" s="8" t="s">
        <v>28</v>
      </c>
      <c r="E28" s="8" t="s">
        <v>29</v>
      </c>
      <c r="F28" s="8" t="s">
        <v>130</v>
      </c>
      <c r="G28" s="8" t="s">
        <v>137</v>
      </c>
      <c r="H28" s="8" t="s">
        <v>145</v>
      </c>
      <c r="I28" s="11">
        <v>125.021511754306</v>
      </c>
      <c r="J28" s="11">
        <v>123.8871365945718</v>
      </c>
      <c r="K28" s="11">
        <v>207.13586666666669</v>
      </c>
      <c r="L28" s="11">
        <v>194.5326</v>
      </c>
      <c r="M28" s="8" t="s">
        <v>179</v>
      </c>
      <c r="N28" s="8" t="s">
        <v>143</v>
      </c>
      <c r="O28" s="8" t="s">
        <v>148</v>
      </c>
      <c r="P28" s="8" t="s">
        <v>180</v>
      </c>
      <c r="Q28" s="11">
        <v>41.521588856960847</v>
      </c>
      <c r="R28" s="11">
        <v>42.835212207537772</v>
      </c>
    </row>
    <row r="29" spans="1:18" x14ac:dyDescent="0.25">
      <c r="A29" s="6">
        <v>25</v>
      </c>
      <c r="B29" s="6" t="s">
        <v>181</v>
      </c>
      <c r="C29" s="6" t="s">
        <v>44</v>
      </c>
      <c r="D29" s="6" t="s">
        <v>28</v>
      </c>
      <c r="E29" s="6" t="s">
        <v>29</v>
      </c>
      <c r="F29" s="6" t="s">
        <v>130</v>
      </c>
      <c r="G29" s="6" t="s">
        <v>145</v>
      </c>
      <c r="H29" s="6" t="s">
        <v>137</v>
      </c>
      <c r="I29" s="10">
        <v>136.71688857972779</v>
      </c>
      <c r="J29" s="10">
        <v>137.90825458617789</v>
      </c>
      <c r="K29" s="10">
        <v>189.99105</v>
      </c>
      <c r="L29" s="10">
        <v>231.8833333333333</v>
      </c>
      <c r="M29" s="6" t="s">
        <v>151</v>
      </c>
      <c r="N29" s="6" t="s">
        <v>182</v>
      </c>
      <c r="O29" s="6" t="s">
        <v>139</v>
      </c>
      <c r="P29" s="6" t="s">
        <v>140</v>
      </c>
      <c r="Q29" s="10">
        <v>50.214719327104461</v>
      </c>
      <c r="R29" s="10">
        <v>40.296367138208907</v>
      </c>
    </row>
    <row r="30" spans="1:18" x14ac:dyDescent="0.25">
      <c r="A30" s="8">
        <v>26</v>
      </c>
      <c r="B30" s="8" t="s">
        <v>183</v>
      </c>
      <c r="C30" s="8" t="s">
        <v>44</v>
      </c>
      <c r="D30" s="8" t="s">
        <v>28</v>
      </c>
      <c r="E30" s="8" t="s">
        <v>29</v>
      </c>
      <c r="F30" s="8" t="s">
        <v>130</v>
      </c>
      <c r="G30" s="8" t="s">
        <v>137</v>
      </c>
      <c r="H30" s="8" t="s">
        <v>154</v>
      </c>
      <c r="I30" s="11">
        <v>153.3729275658394</v>
      </c>
      <c r="J30" s="11">
        <v>154.06343517645311</v>
      </c>
      <c r="K30" s="11">
        <v>281.08690000000001</v>
      </c>
      <c r="L30" s="11">
        <v>291.75</v>
      </c>
      <c r="M30" s="8" t="s">
        <v>142</v>
      </c>
      <c r="N30" s="8" t="s">
        <v>184</v>
      </c>
      <c r="O30" s="8" t="s">
        <v>156</v>
      </c>
      <c r="P30" s="8" t="s">
        <v>185</v>
      </c>
      <c r="Q30" s="11">
        <v>38.128965801600678</v>
      </c>
      <c r="R30" s="11">
        <v>35.989741808256568</v>
      </c>
    </row>
    <row r="31" spans="1:18" x14ac:dyDescent="0.25">
      <c r="A31" s="6">
        <v>27</v>
      </c>
      <c r="B31" s="6" t="s">
        <v>186</v>
      </c>
      <c r="C31" s="6" t="s">
        <v>44</v>
      </c>
      <c r="D31" s="6" t="s">
        <v>28</v>
      </c>
      <c r="E31" s="6" t="s">
        <v>29</v>
      </c>
      <c r="F31" s="6" t="s">
        <v>130</v>
      </c>
      <c r="G31" s="6" t="s">
        <v>154</v>
      </c>
      <c r="H31" s="6" t="s">
        <v>137</v>
      </c>
      <c r="I31" s="10">
        <v>138.2944646000696</v>
      </c>
      <c r="J31" s="10">
        <v>137.8693466671948</v>
      </c>
      <c r="K31" s="10">
        <v>219.90880000000001</v>
      </c>
      <c r="L31" s="10">
        <v>231.8833333333333</v>
      </c>
      <c r="M31" s="6" t="s">
        <v>159</v>
      </c>
      <c r="N31" s="6" t="s">
        <v>187</v>
      </c>
      <c r="O31" s="6" t="s">
        <v>139</v>
      </c>
      <c r="P31" s="6" t="s">
        <v>140</v>
      </c>
      <c r="Q31" s="10">
        <v>46.483728760311841</v>
      </c>
      <c r="R31" s="10">
        <v>40.286623077903108</v>
      </c>
    </row>
    <row r="32" spans="1:18" x14ac:dyDescent="0.25">
      <c r="A32" s="8">
        <v>28</v>
      </c>
      <c r="B32" s="8" t="s">
        <v>188</v>
      </c>
      <c r="C32" s="8" t="s">
        <v>42</v>
      </c>
      <c r="D32" s="8" t="s">
        <v>28</v>
      </c>
      <c r="E32" s="8" t="s">
        <v>29</v>
      </c>
      <c r="F32" s="8" t="s">
        <v>96</v>
      </c>
      <c r="G32" s="8" t="s">
        <v>112</v>
      </c>
      <c r="H32" s="8" t="s">
        <v>112</v>
      </c>
      <c r="I32" s="11">
        <v>145.90644227428081</v>
      </c>
      <c r="J32" s="11">
        <v>145.99433069945931</v>
      </c>
      <c r="K32" s="11">
        <v>195.40219999999999</v>
      </c>
      <c r="L32" s="11">
        <v>266.86321666666669</v>
      </c>
      <c r="M32" s="8" t="s">
        <v>189</v>
      </c>
      <c r="N32" s="8" t="s">
        <v>190</v>
      </c>
      <c r="O32" s="8" t="s">
        <v>115</v>
      </c>
      <c r="P32" s="8" t="s">
        <v>191</v>
      </c>
      <c r="Q32" s="11">
        <v>48.032687059895139</v>
      </c>
      <c r="R32" s="11">
        <v>45.342764687473462</v>
      </c>
    </row>
    <row r="33" spans="1:18" x14ac:dyDescent="0.25">
      <c r="A33" s="6">
        <v>29</v>
      </c>
      <c r="B33" s="6" t="s">
        <v>192</v>
      </c>
      <c r="C33" s="6" t="s">
        <v>44</v>
      </c>
      <c r="D33" s="6" t="s">
        <v>28</v>
      </c>
      <c r="E33" s="6" t="s">
        <v>29</v>
      </c>
      <c r="F33" s="6" t="s">
        <v>96</v>
      </c>
      <c r="G33" s="6" t="s">
        <v>112</v>
      </c>
      <c r="H33" s="6" t="s">
        <v>122</v>
      </c>
      <c r="I33" s="10">
        <v>148.61845633311091</v>
      </c>
      <c r="J33" s="10">
        <v>148.55222316255839</v>
      </c>
      <c r="K33" s="10">
        <v>202.45428333333331</v>
      </c>
      <c r="L33" s="10">
        <v>266.73758333333342</v>
      </c>
      <c r="M33" s="6" t="s">
        <v>118</v>
      </c>
      <c r="N33" s="6" t="s">
        <v>170</v>
      </c>
      <c r="O33" s="6" t="s">
        <v>193</v>
      </c>
      <c r="P33" s="6" t="s">
        <v>125</v>
      </c>
      <c r="Q33" s="10">
        <v>47.685896180996579</v>
      </c>
      <c r="R33" s="10">
        <v>42.944529784860279</v>
      </c>
    </row>
    <row r="34" spans="1:18" x14ac:dyDescent="0.25">
      <c r="A34" s="8">
        <v>30</v>
      </c>
      <c r="B34" s="8" t="s">
        <v>194</v>
      </c>
      <c r="C34" s="8" t="s">
        <v>44</v>
      </c>
      <c r="D34" s="8" t="s">
        <v>28</v>
      </c>
      <c r="E34" s="8" t="s">
        <v>29</v>
      </c>
      <c r="F34" s="8" t="s">
        <v>96</v>
      </c>
      <c r="G34" s="8" t="s">
        <v>122</v>
      </c>
      <c r="H34" s="8" t="s">
        <v>112</v>
      </c>
      <c r="I34" s="11">
        <v>145.9773325040056</v>
      </c>
      <c r="J34" s="11">
        <v>145.88933639903391</v>
      </c>
      <c r="K34" s="11">
        <v>255.74388333333329</v>
      </c>
      <c r="L34" s="11">
        <v>265.62998333333331</v>
      </c>
      <c r="M34" s="8" t="s">
        <v>195</v>
      </c>
      <c r="N34" s="8" t="s">
        <v>196</v>
      </c>
      <c r="O34" s="8" t="s">
        <v>115</v>
      </c>
      <c r="P34" s="8" t="s">
        <v>197</v>
      </c>
      <c r="Q34" s="11">
        <v>47.245229900420597</v>
      </c>
      <c r="R34" s="11">
        <v>45.594971634872877</v>
      </c>
    </row>
    <row r="35" spans="1:18" x14ac:dyDescent="0.25">
      <c r="A35" s="6">
        <v>31</v>
      </c>
      <c r="B35" s="6" t="s">
        <v>198</v>
      </c>
      <c r="C35" s="6" t="s">
        <v>42</v>
      </c>
      <c r="D35" s="6" t="s">
        <v>28</v>
      </c>
      <c r="E35" s="6" t="s">
        <v>29</v>
      </c>
      <c r="F35" s="6" t="s">
        <v>130</v>
      </c>
      <c r="G35" s="6" t="s">
        <v>145</v>
      </c>
      <c r="H35" s="6" t="s">
        <v>145</v>
      </c>
      <c r="I35" s="10">
        <v>123.9926446469637</v>
      </c>
      <c r="J35" s="10">
        <v>123.9802750677086</v>
      </c>
      <c r="K35" s="10">
        <v>187.65295</v>
      </c>
      <c r="L35" s="10">
        <v>194.95840000000001</v>
      </c>
      <c r="M35" s="6" t="s">
        <v>199</v>
      </c>
      <c r="N35" s="6" t="s">
        <v>200</v>
      </c>
      <c r="O35" s="6" t="s">
        <v>148</v>
      </c>
      <c r="P35" s="6" t="s">
        <v>149</v>
      </c>
      <c r="Q35" s="10">
        <v>46.882858863668829</v>
      </c>
      <c r="R35" s="10">
        <v>42.761694453487323</v>
      </c>
    </row>
    <row r="36" spans="1:18" x14ac:dyDescent="0.25">
      <c r="A36" s="8">
        <v>32</v>
      </c>
      <c r="B36" s="8" t="s">
        <v>201</v>
      </c>
      <c r="C36" s="8" t="s">
        <v>44</v>
      </c>
      <c r="D36" s="8" t="s">
        <v>28</v>
      </c>
      <c r="E36" s="8" t="s">
        <v>35</v>
      </c>
      <c r="F36" s="8" t="s">
        <v>76</v>
      </c>
      <c r="G36" s="8" t="s">
        <v>145</v>
      </c>
      <c r="H36" s="8" t="s">
        <v>78</v>
      </c>
      <c r="I36" s="11">
        <v>324.82784685582573</v>
      </c>
      <c r="J36" s="11">
        <v>330.65385365728412</v>
      </c>
      <c r="K36" s="11">
        <v>356.12246666666658</v>
      </c>
      <c r="L36" s="11">
        <v>333.43333333333328</v>
      </c>
      <c r="M36" s="8" t="s">
        <v>202</v>
      </c>
      <c r="N36" s="8" t="s">
        <v>203</v>
      </c>
      <c r="O36" s="8" t="s">
        <v>81</v>
      </c>
      <c r="P36" s="8" t="s">
        <v>204</v>
      </c>
      <c r="Q36" s="11">
        <v>65.688581946123335</v>
      </c>
      <c r="R36" s="11">
        <v>62.887753110635487</v>
      </c>
    </row>
    <row r="37" spans="1:18" x14ac:dyDescent="0.25">
      <c r="A37" s="6">
        <v>33</v>
      </c>
      <c r="B37" s="6" t="s">
        <v>205</v>
      </c>
      <c r="C37" s="6" t="s">
        <v>44</v>
      </c>
      <c r="D37" s="6" t="s">
        <v>28</v>
      </c>
      <c r="E37" s="6" t="s">
        <v>35</v>
      </c>
      <c r="F37" s="6" t="s">
        <v>76</v>
      </c>
      <c r="G37" s="6" t="s">
        <v>145</v>
      </c>
      <c r="H37" s="6" t="s">
        <v>84</v>
      </c>
      <c r="I37" s="10">
        <v>320.29500345641202</v>
      </c>
      <c r="J37" s="10">
        <v>320.93023294332693</v>
      </c>
      <c r="K37" s="10">
        <v>350.05456666666669</v>
      </c>
      <c r="L37" s="10">
        <v>317.31619999999998</v>
      </c>
      <c r="M37" s="6" t="s">
        <v>206</v>
      </c>
      <c r="N37" s="6" t="s">
        <v>207</v>
      </c>
      <c r="O37" s="6" t="s">
        <v>208</v>
      </c>
      <c r="P37" s="6" t="s">
        <v>209</v>
      </c>
      <c r="Q37" s="10">
        <v>66.126659936677697</v>
      </c>
      <c r="R37" s="10">
        <v>65.883968417687953</v>
      </c>
    </row>
    <row r="38" spans="1:18" x14ac:dyDescent="0.25">
      <c r="A38" s="8">
        <v>34</v>
      </c>
      <c r="B38" s="8" t="s">
        <v>210</v>
      </c>
      <c r="C38" s="8" t="s">
        <v>44</v>
      </c>
      <c r="D38" s="8" t="s">
        <v>28</v>
      </c>
      <c r="E38" s="8" t="s">
        <v>29</v>
      </c>
      <c r="F38" s="8" t="s">
        <v>130</v>
      </c>
      <c r="G38" s="8" t="s">
        <v>145</v>
      </c>
      <c r="H38" s="8" t="s">
        <v>154</v>
      </c>
      <c r="I38" s="11">
        <v>152.39467948024659</v>
      </c>
      <c r="J38" s="11">
        <v>154.03235985141359</v>
      </c>
      <c r="K38" s="11">
        <v>252.84703333333329</v>
      </c>
      <c r="L38" s="11">
        <v>291.75</v>
      </c>
      <c r="M38" s="8" t="s">
        <v>151</v>
      </c>
      <c r="N38" s="8" t="s">
        <v>211</v>
      </c>
      <c r="O38" s="8" t="s">
        <v>156</v>
      </c>
      <c r="P38" s="8" t="s">
        <v>185</v>
      </c>
      <c r="Q38" s="11">
        <v>42.287934939916333</v>
      </c>
      <c r="R38" s="11">
        <v>35.987183332600232</v>
      </c>
    </row>
    <row r="39" spans="1:18" x14ac:dyDescent="0.25">
      <c r="A39" s="6">
        <v>35</v>
      </c>
      <c r="B39" s="6" t="s">
        <v>212</v>
      </c>
      <c r="C39" s="6" t="s">
        <v>44</v>
      </c>
      <c r="D39" s="6" t="s">
        <v>28</v>
      </c>
      <c r="E39" s="6" t="s">
        <v>29</v>
      </c>
      <c r="F39" s="6" t="s">
        <v>130</v>
      </c>
      <c r="G39" s="6" t="s">
        <v>154</v>
      </c>
      <c r="H39" s="6" t="s">
        <v>145</v>
      </c>
      <c r="I39" s="10">
        <v>125.7416693023907</v>
      </c>
      <c r="J39" s="10">
        <v>123.9823800042885</v>
      </c>
      <c r="K39" s="10">
        <v>194.9381166666667</v>
      </c>
      <c r="L39" s="10">
        <v>194.95840000000001</v>
      </c>
      <c r="M39" s="6" t="s">
        <v>213</v>
      </c>
      <c r="N39" s="6" t="s">
        <v>160</v>
      </c>
      <c r="O39" s="6" t="s">
        <v>148</v>
      </c>
      <c r="P39" s="6" t="s">
        <v>149</v>
      </c>
      <c r="Q39" s="10">
        <v>45.475102570591687</v>
      </c>
      <c r="R39" s="10">
        <v>42.768923453873597</v>
      </c>
    </row>
    <row r="40" spans="1:18" x14ac:dyDescent="0.25">
      <c r="A40" s="8">
        <v>36</v>
      </c>
      <c r="B40" s="8" t="s">
        <v>214</v>
      </c>
      <c r="C40" s="8" t="s">
        <v>44</v>
      </c>
      <c r="D40" s="8" t="s">
        <v>28</v>
      </c>
      <c r="E40" s="8" t="s">
        <v>35</v>
      </c>
      <c r="F40" s="8" t="s">
        <v>88</v>
      </c>
      <c r="G40" s="8" t="s">
        <v>84</v>
      </c>
      <c r="H40" s="8" t="s">
        <v>90</v>
      </c>
      <c r="I40" s="11">
        <v>326.45811266430007</v>
      </c>
      <c r="J40" s="11">
        <v>326.59061742825281</v>
      </c>
      <c r="K40" s="11">
        <v>477.62115</v>
      </c>
      <c r="L40" s="11">
        <v>368.08333333333331</v>
      </c>
      <c r="M40" s="8" t="s">
        <v>215</v>
      </c>
      <c r="N40" s="8" t="s">
        <v>216</v>
      </c>
      <c r="O40" s="8" t="s">
        <v>208</v>
      </c>
      <c r="P40" s="8" t="s">
        <v>217</v>
      </c>
      <c r="Q40" s="11">
        <v>53.205170227322412</v>
      </c>
      <c r="R40" s="11">
        <v>59.004059141794428</v>
      </c>
    </row>
    <row r="41" spans="1:18" x14ac:dyDescent="0.25">
      <c r="A41" s="6">
        <v>37</v>
      </c>
      <c r="B41" s="6" t="s">
        <v>218</v>
      </c>
      <c r="C41" s="6" t="s">
        <v>42</v>
      </c>
      <c r="D41" s="6" t="s">
        <v>28</v>
      </c>
      <c r="E41" s="6" t="s">
        <v>35</v>
      </c>
      <c r="F41" s="6" t="s">
        <v>76</v>
      </c>
      <c r="G41" s="6" t="s">
        <v>219</v>
      </c>
      <c r="H41" s="6" t="s">
        <v>84</v>
      </c>
      <c r="I41" s="10">
        <v>249.12684837179509</v>
      </c>
      <c r="J41" s="10">
        <v>249.90720121217629</v>
      </c>
      <c r="K41" s="10">
        <v>261.38704999999999</v>
      </c>
      <c r="L41" s="10">
        <v>244.9409666666667</v>
      </c>
      <c r="M41" s="6" t="s">
        <v>220</v>
      </c>
      <c r="N41" s="6" t="s">
        <v>221</v>
      </c>
      <c r="O41" s="6" t="s">
        <v>85</v>
      </c>
      <c r="P41" s="6" t="s">
        <v>222</v>
      </c>
      <c r="Q41" s="10">
        <v>63.843688448222949</v>
      </c>
      <c r="R41" s="10">
        <v>67.45522324597772</v>
      </c>
    </row>
    <row r="42" spans="1:18" x14ac:dyDescent="0.25">
      <c r="A42" s="8">
        <v>38</v>
      </c>
      <c r="B42" s="8" t="s">
        <v>223</v>
      </c>
      <c r="C42" s="8" t="s">
        <v>42</v>
      </c>
      <c r="D42" s="8" t="s">
        <v>28</v>
      </c>
      <c r="E42" s="8" t="s">
        <v>31</v>
      </c>
      <c r="F42" s="8" t="s">
        <v>31</v>
      </c>
      <c r="G42" s="8" t="s">
        <v>224</v>
      </c>
      <c r="H42" s="8" t="s">
        <v>224</v>
      </c>
      <c r="I42" s="11">
        <v>326.35477257458922</v>
      </c>
      <c r="J42" s="11">
        <v>325.94609719425989</v>
      </c>
      <c r="K42" s="11">
        <v>395</v>
      </c>
      <c r="L42" s="11">
        <v>374.96151666666663</v>
      </c>
      <c r="M42" s="8" t="s">
        <v>225</v>
      </c>
      <c r="N42" s="8" t="s">
        <v>226</v>
      </c>
      <c r="O42" s="8" t="s">
        <v>227</v>
      </c>
      <c r="P42" s="8" t="s">
        <v>228</v>
      </c>
      <c r="Q42" s="11">
        <v>61.316237218779037</v>
      </c>
      <c r="R42" s="11">
        <v>59.540017015084743</v>
      </c>
    </row>
    <row r="43" spans="1:18" x14ac:dyDescent="0.25">
      <c r="A43" s="6">
        <v>39</v>
      </c>
      <c r="B43" s="6" t="s">
        <v>229</v>
      </c>
      <c r="C43" s="6" t="s">
        <v>44</v>
      </c>
      <c r="D43" s="6" t="s">
        <v>28</v>
      </c>
      <c r="E43" s="6" t="s">
        <v>31</v>
      </c>
      <c r="F43" s="6" t="s">
        <v>31</v>
      </c>
      <c r="G43" s="6" t="s">
        <v>224</v>
      </c>
      <c r="H43" s="6" t="s">
        <v>230</v>
      </c>
      <c r="I43" s="10">
        <v>325.41591380093507</v>
      </c>
      <c r="J43" s="10">
        <v>325.05351767503993</v>
      </c>
      <c r="K43" s="10">
        <v>392.37093333333343</v>
      </c>
      <c r="L43" s="10">
        <v>411.88261666666671</v>
      </c>
      <c r="M43" s="6" t="s">
        <v>231</v>
      </c>
      <c r="N43" s="6" t="s">
        <v>226</v>
      </c>
      <c r="O43" s="6" t="s">
        <v>232</v>
      </c>
      <c r="P43" s="6" t="s">
        <v>233</v>
      </c>
      <c r="Q43" s="10">
        <v>61.64781186469645</v>
      </c>
      <c r="R43" s="10">
        <v>56.977909507314003</v>
      </c>
    </row>
    <row r="44" spans="1:18" x14ac:dyDescent="0.25">
      <c r="A44" s="8">
        <v>40</v>
      </c>
      <c r="B44" s="8" t="s">
        <v>234</v>
      </c>
      <c r="C44" s="8" t="s">
        <v>44</v>
      </c>
      <c r="D44" s="8" t="s">
        <v>28</v>
      </c>
      <c r="E44" s="8" t="s">
        <v>31</v>
      </c>
      <c r="F44" s="8" t="s">
        <v>31</v>
      </c>
      <c r="G44" s="8" t="s">
        <v>224</v>
      </c>
      <c r="H44" s="8" t="s">
        <v>235</v>
      </c>
      <c r="I44" s="11">
        <v>326.42355177683419</v>
      </c>
      <c r="J44" s="11">
        <v>325.95210910875733</v>
      </c>
      <c r="K44" s="11">
        <v>395</v>
      </c>
      <c r="L44" s="11">
        <v>319.50481666666673</v>
      </c>
      <c r="M44" s="8" t="s">
        <v>225</v>
      </c>
      <c r="N44" s="8" t="s">
        <v>226</v>
      </c>
      <c r="O44" s="8" t="s">
        <v>236</v>
      </c>
      <c r="P44" s="8" t="s">
        <v>237</v>
      </c>
      <c r="Q44" s="11">
        <v>61.329177126178159</v>
      </c>
      <c r="R44" s="11">
        <v>62.637050944032119</v>
      </c>
    </row>
    <row r="45" spans="1:18" x14ac:dyDescent="0.25">
      <c r="A45" s="6">
        <v>41</v>
      </c>
      <c r="B45" s="6" t="s">
        <v>238</v>
      </c>
      <c r="C45" s="6" t="s">
        <v>44</v>
      </c>
      <c r="D45" s="6" t="s">
        <v>28</v>
      </c>
      <c r="E45" s="6" t="s">
        <v>31</v>
      </c>
      <c r="F45" s="6" t="s">
        <v>31</v>
      </c>
      <c r="G45" s="6" t="s">
        <v>235</v>
      </c>
      <c r="H45" s="6" t="s">
        <v>224</v>
      </c>
      <c r="I45" s="10">
        <v>325.44929939593982</v>
      </c>
      <c r="J45" s="10">
        <v>325.19747839743411</v>
      </c>
      <c r="K45" s="10">
        <v>353.84784999999999</v>
      </c>
      <c r="L45" s="10">
        <v>372.55040000000002</v>
      </c>
      <c r="M45" s="6" t="s">
        <v>239</v>
      </c>
      <c r="N45" s="6" t="s">
        <v>240</v>
      </c>
      <c r="O45" s="6" t="s">
        <v>227</v>
      </c>
      <c r="P45" s="6" t="s">
        <v>241</v>
      </c>
      <c r="Q45" s="10">
        <v>67.12149214202077</v>
      </c>
      <c r="R45" s="10">
        <v>59.843107131271857</v>
      </c>
    </row>
    <row r="46" spans="1:18" x14ac:dyDescent="0.25">
      <c r="A46" s="8">
        <v>42</v>
      </c>
      <c r="B46" s="8" t="s">
        <v>242</v>
      </c>
      <c r="C46" s="8" t="s">
        <v>42</v>
      </c>
      <c r="D46" s="8" t="s">
        <v>28</v>
      </c>
      <c r="E46" s="8" t="s">
        <v>33</v>
      </c>
      <c r="F46" s="8" t="s">
        <v>33</v>
      </c>
      <c r="G46" s="8" t="s">
        <v>243</v>
      </c>
      <c r="H46" s="8" t="s">
        <v>243</v>
      </c>
      <c r="I46" s="11">
        <v>321.86119576256169</v>
      </c>
      <c r="J46" s="11">
        <v>322.43341940471572</v>
      </c>
      <c r="K46" s="11">
        <v>405.77063333333331</v>
      </c>
      <c r="L46" s="11">
        <v>325.4048166666667</v>
      </c>
      <c r="M46" s="8" t="s">
        <v>244</v>
      </c>
      <c r="N46" s="8" t="s">
        <v>245</v>
      </c>
      <c r="O46" s="8" t="s">
        <v>246</v>
      </c>
      <c r="P46" s="8" t="s">
        <v>247</v>
      </c>
      <c r="Q46" s="11">
        <v>64.645314886366052</v>
      </c>
      <c r="R46" s="11">
        <v>63.964896238433653</v>
      </c>
    </row>
    <row r="47" spans="1:18" x14ac:dyDescent="0.25">
      <c r="A47" s="6">
        <v>43</v>
      </c>
      <c r="B47" s="6" t="s">
        <v>248</v>
      </c>
      <c r="C47" s="6" t="s">
        <v>44</v>
      </c>
      <c r="D47" s="6" t="s">
        <v>28</v>
      </c>
      <c r="E47" s="6" t="s">
        <v>33</v>
      </c>
      <c r="F47" s="6" t="s">
        <v>33</v>
      </c>
      <c r="G47" s="6" t="s">
        <v>243</v>
      </c>
      <c r="H47" s="6" t="s">
        <v>249</v>
      </c>
      <c r="I47" s="10">
        <v>322.17747430370082</v>
      </c>
      <c r="J47" s="10">
        <v>321.6269481176106</v>
      </c>
      <c r="K47" s="10">
        <v>446.45</v>
      </c>
      <c r="L47" s="10">
        <v>341.44238333333328</v>
      </c>
      <c r="M47" s="6" t="s">
        <v>250</v>
      </c>
      <c r="N47" s="6" t="s">
        <v>251</v>
      </c>
      <c r="O47" s="6" t="s">
        <v>252</v>
      </c>
      <c r="P47" s="6" t="s">
        <v>253</v>
      </c>
      <c r="Q47" s="10">
        <v>64.4401967523076</v>
      </c>
      <c r="R47" s="10">
        <v>64.281452951025713</v>
      </c>
    </row>
    <row r="48" spans="1:18" x14ac:dyDescent="0.25">
      <c r="A48" s="8">
        <v>44</v>
      </c>
      <c r="B48" s="8" t="s">
        <v>254</v>
      </c>
      <c r="C48" s="8" t="s">
        <v>44</v>
      </c>
      <c r="D48" s="8" t="s">
        <v>28</v>
      </c>
      <c r="E48" s="8" t="s">
        <v>33</v>
      </c>
      <c r="F48" s="8" t="s">
        <v>33</v>
      </c>
      <c r="G48" s="8" t="s">
        <v>249</v>
      </c>
      <c r="H48" s="8" t="s">
        <v>243</v>
      </c>
      <c r="I48" s="11">
        <v>324.42978832438968</v>
      </c>
      <c r="J48" s="11">
        <v>325.03506672854411</v>
      </c>
      <c r="K48" s="11">
        <v>408.62676666666658</v>
      </c>
      <c r="L48" s="11">
        <v>325.26549999999997</v>
      </c>
      <c r="M48" s="8" t="s">
        <v>255</v>
      </c>
      <c r="N48" s="8" t="s">
        <v>256</v>
      </c>
      <c r="O48" s="8" t="s">
        <v>257</v>
      </c>
      <c r="P48" s="8" t="s">
        <v>258</v>
      </c>
      <c r="Q48" s="11">
        <v>62.280657722390274</v>
      </c>
      <c r="R48" s="11">
        <v>63.759140657029413</v>
      </c>
    </row>
    <row r="49" spans="1:18" x14ac:dyDescent="0.25">
      <c r="A49" s="6">
        <v>45</v>
      </c>
      <c r="B49" s="6" t="s">
        <v>259</v>
      </c>
      <c r="C49" s="6" t="s">
        <v>44</v>
      </c>
      <c r="D49" s="6" t="s">
        <v>28</v>
      </c>
      <c r="E49" s="6" t="s">
        <v>33</v>
      </c>
      <c r="F49" s="6" t="s">
        <v>33</v>
      </c>
      <c r="G49" s="6" t="s">
        <v>243</v>
      </c>
      <c r="H49" s="6" t="s">
        <v>260</v>
      </c>
      <c r="I49" s="10">
        <v>322.27359408346013</v>
      </c>
      <c r="J49" s="10">
        <v>322.64698261892221</v>
      </c>
      <c r="K49" s="10">
        <v>446.45</v>
      </c>
      <c r="L49" s="10">
        <v>349.42598333333342</v>
      </c>
      <c r="M49" s="6" t="s">
        <v>250</v>
      </c>
      <c r="N49" s="6" t="s">
        <v>251</v>
      </c>
      <c r="O49" s="6" t="s">
        <v>261</v>
      </c>
      <c r="P49" s="6" t="s">
        <v>262</v>
      </c>
      <c r="Q49" s="10">
        <v>64.459443162404568</v>
      </c>
      <c r="R49" s="10">
        <v>59.875837357006112</v>
      </c>
    </row>
    <row r="50" spans="1:18" x14ac:dyDescent="0.25">
      <c r="A50" s="8">
        <v>46</v>
      </c>
      <c r="B50" s="8" t="s">
        <v>263</v>
      </c>
      <c r="C50" s="8" t="s">
        <v>44</v>
      </c>
      <c r="D50" s="8" t="s">
        <v>28</v>
      </c>
      <c r="E50" s="8" t="s">
        <v>33</v>
      </c>
      <c r="F50" s="8" t="s">
        <v>33</v>
      </c>
      <c r="G50" s="8" t="s">
        <v>260</v>
      </c>
      <c r="H50" s="8" t="s">
        <v>243</v>
      </c>
      <c r="I50" s="11">
        <v>324.93502838087829</v>
      </c>
      <c r="J50" s="11">
        <v>325.72634804024972</v>
      </c>
      <c r="K50" s="11">
        <v>394.6350333333333</v>
      </c>
      <c r="L50" s="11">
        <v>329.75</v>
      </c>
      <c r="M50" s="8" t="s">
        <v>264</v>
      </c>
      <c r="N50" s="8" t="s">
        <v>265</v>
      </c>
      <c r="O50" s="8" t="s">
        <v>246</v>
      </c>
      <c r="P50" s="8" t="s">
        <v>258</v>
      </c>
      <c r="Q50" s="11">
        <v>64.174151856789692</v>
      </c>
      <c r="R50" s="11">
        <v>63.702556250659107</v>
      </c>
    </row>
    <row r="51" spans="1:18" x14ac:dyDescent="0.25">
      <c r="A51" s="6">
        <v>47</v>
      </c>
      <c r="B51" s="6" t="s">
        <v>266</v>
      </c>
      <c r="C51" s="6" t="s">
        <v>44</v>
      </c>
      <c r="D51" s="6" t="s">
        <v>28</v>
      </c>
      <c r="E51" s="6" t="s">
        <v>31</v>
      </c>
      <c r="F51" s="6" t="s">
        <v>31</v>
      </c>
      <c r="G51" s="6" t="s">
        <v>235</v>
      </c>
      <c r="H51" s="6" t="s">
        <v>230</v>
      </c>
      <c r="I51" s="10">
        <v>325.38165129441143</v>
      </c>
      <c r="J51" s="10">
        <v>325.17312937934167</v>
      </c>
      <c r="K51" s="10">
        <v>353.84784999999999</v>
      </c>
      <c r="L51" s="10">
        <v>412.48813333333328</v>
      </c>
      <c r="M51" s="6" t="s">
        <v>239</v>
      </c>
      <c r="N51" s="6" t="s">
        <v>240</v>
      </c>
      <c r="O51" s="6" t="s">
        <v>267</v>
      </c>
      <c r="P51" s="6" t="s">
        <v>268</v>
      </c>
      <c r="Q51" s="10">
        <v>67.10753118315435</v>
      </c>
      <c r="R51" s="10">
        <v>57.067129814922858</v>
      </c>
    </row>
    <row r="52" spans="1:18" x14ac:dyDescent="0.25">
      <c r="A52" s="8">
        <v>48</v>
      </c>
      <c r="B52" s="8" t="s">
        <v>269</v>
      </c>
      <c r="C52" s="8" t="s">
        <v>42</v>
      </c>
      <c r="D52" s="8" t="s">
        <v>28</v>
      </c>
      <c r="E52" s="8" t="s">
        <v>33</v>
      </c>
      <c r="F52" s="8" t="s">
        <v>33</v>
      </c>
      <c r="G52" s="8" t="s">
        <v>249</v>
      </c>
      <c r="H52" s="8" t="s">
        <v>249</v>
      </c>
      <c r="I52" s="11">
        <v>325.39890709550622</v>
      </c>
      <c r="J52" s="11">
        <v>324.88432242009242</v>
      </c>
      <c r="K52" s="11">
        <v>410.73333333333329</v>
      </c>
      <c r="L52" s="11">
        <v>348.14720000000011</v>
      </c>
      <c r="M52" s="8" t="s">
        <v>255</v>
      </c>
      <c r="N52" s="8" t="s">
        <v>270</v>
      </c>
      <c r="O52" s="8" t="s">
        <v>271</v>
      </c>
      <c r="P52" s="8" t="s">
        <v>272</v>
      </c>
      <c r="Q52" s="11">
        <v>62.048170909885918</v>
      </c>
      <c r="R52" s="11">
        <v>63.51275377345894</v>
      </c>
    </row>
    <row r="53" spans="1:18" x14ac:dyDescent="0.25">
      <c r="A53" s="6">
        <v>49</v>
      </c>
      <c r="B53" s="6" t="s">
        <v>273</v>
      </c>
      <c r="C53" s="6" t="s">
        <v>44</v>
      </c>
      <c r="D53" s="6" t="s">
        <v>28</v>
      </c>
      <c r="E53" s="6" t="s">
        <v>33</v>
      </c>
      <c r="F53" s="6" t="s">
        <v>33</v>
      </c>
      <c r="G53" s="6" t="s">
        <v>249</v>
      </c>
      <c r="H53" s="6" t="s">
        <v>260</v>
      </c>
      <c r="I53" s="10">
        <v>323.75364208554902</v>
      </c>
      <c r="J53" s="10">
        <v>324.12513972731608</v>
      </c>
      <c r="K53" s="10">
        <v>407.74795</v>
      </c>
      <c r="L53" s="10">
        <v>346.04665</v>
      </c>
      <c r="M53" s="6" t="s">
        <v>255</v>
      </c>
      <c r="N53" s="6" t="s">
        <v>274</v>
      </c>
      <c r="O53" s="6" t="s">
        <v>275</v>
      </c>
      <c r="P53" s="6" t="s">
        <v>276</v>
      </c>
      <c r="Q53" s="10">
        <v>62.32616891116043</v>
      </c>
      <c r="R53" s="10">
        <v>60.09883681712126</v>
      </c>
    </row>
    <row r="54" spans="1:18" x14ac:dyDescent="0.25">
      <c r="A54" s="8">
        <v>50</v>
      </c>
      <c r="B54" s="8" t="s">
        <v>277</v>
      </c>
      <c r="C54" s="8" t="s">
        <v>44</v>
      </c>
      <c r="D54" s="8" t="s">
        <v>28</v>
      </c>
      <c r="E54" s="8" t="s">
        <v>33</v>
      </c>
      <c r="F54" s="8" t="s">
        <v>33</v>
      </c>
      <c r="G54" s="8" t="s">
        <v>260</v>
      </c>
      <c r="H54" s="8" t="s">
        <v>249</v>
      </c>
      <c r="I54" s="11">
        <v>326.46596224309337</v>
      </c>
      <c r="J54" s="11">
        <v>326.13414239444489</v>
      </c>
      <c r="K54" s="11">
        <v>420.64665000000002</v>
      </c>
      <c r="L54" s="11">
        <v>351.75</v>
      </c>
      <c r="M54" s="8" t="s">
        <v>278</v>
      </c>
      <c r="N54" s="8" t="s">
        <v>279</v>
      </c>
      <c r="O54" s="8" t="s">
        <v>252</v>
      </c>
      <c r="P54" s="8" t="s">
        <v>280</v>
      </c>
      <c r="Q54" s="11">
        <v>63.924179776882589</v>
      </c>
      <c r="R54" s="11">
        <v>63.016566640353268</v>
      </c>
    </row>
    <row r="55" spans="1:18" x14ac:dyDescent="0.25">
      <c r="A55" s="6">
        <v>51</v>
      </c>
      <c r="B55" s="6" t="s">
        <v>281</v>
      </c>
      <c r="C55" s="6" t="s">
        <v>42</v>
      </c>
      <c r="D55" s="6" t="s">
        <v>28</v>
      </c>
      <c r="E55" s="6" t="s">
        <v>29</v>
      </c>
      <c r="F55" s="6" t="s">
        <v>96</v>
      </c>
      <c r="G55" s="6" t="s">
        <v>122</v>
      </c>
      <c r="H55" s="6" t="s">
        <v>122</v>
      </c>
      <c r="I55" s="10">
        <v>153.67647670508151</v>
      </c>
      <c r="J55" s="10">
        <v>153.53074027842979</v>
      </c>
      <c r="K55" s="10">
        <v>265.81493333333327</v>
      </c>
      <c r="L55" s="10">
        <v>285.56666666666672</v>
      </c>
      <c r="M55" s="6" t="s">
        <v>282</v>
      </c>
      <c r="N55" s="6" t="s">
        <v>175</v>
      </c>
      <c r="O55" s="6" t="s">
        <v>124</v>
      </c>
      <c r="P55" s="6" t="s">
        <v>125</v>
      </c>
      <c r="Q55" s="10">
        <v>45.911373665924373</v>
      </c>
      <c r="R55" s="10">
        <v>41.347135164429552</v>
      </c>
    </row>
    <row r="56" spans="1:18" x14ac:dyDescent="0.25">
      <c r="A56" s="8">
        <v>52</v>
      </c>
      <c r="B56" s="8" t="s">
        <v>283</v>
      </c>
      <c r="C56" s="8" t="s">
        <v>42</v>
      </c>
      <c r="D56" s="8" t="s">
        <v>28</v>
      </c>
      <c r="E56" s="8" t="s">
        <v>29</v>
      </c>
      <c r="F56" s="8" t="s">
        <v>130</v>
      </c>
      <c r="G56" s="8" t="s">
        <v>154</v>
      </c>
      <c r="H56" s="8" t="s">
        <v>154</v>
      </c>
      <c r="I56" s="11">
        <v>151.56015677624401</v>
      </c>
      <c r="J56" s="11">
        <v>152.10930530550161</v>
      </c>
      <c r="K56" s="11">
        <v>263.95294999999999</v>
      </c>
      <c r="L56" s="11">
        <v>286.34036666666663</v>
      </c>
      <c r="M56" s="8" t="s">
        <v>284</v>
      </c>
      <c r="N56" s="8" t="s">
        <v>285</v>
      </c>
      <c r="O56" s="8" t="s">
        <v>156</v>
      </c>
      <c r="P56" s="8" t="s">
        <v>286</v>
      </c>
      <c r="Q56" s="11">
        <v>42.410120530327511</v>
      </c>
      <c r="R56" s="11">
        <v>36.293607322885208</v>
      </c>
    </row>
    <row r="57" spans="1:18" x14ac:dyDescent="0.25">
      <c r="A57" s="6">
        <v>53</v>
      </c>
      <c r="B57" s="6" t="s">
        <v>287</v>
      </c>
      <c r="C57" s="6" t="s">
        <v>42</v>
      </c>
      <c r="D57" s="6" t="s">
        <v>28</v>
      </c>
      <c r="E57" s="6" t="s">
        <v>31</v>
      </c>
      <c r="F57" s="6" t="s">
        <v>31</v>
      </c>
      <c r="G57" s="6" t="s">
        <v>235</v>
      </c>
      <c r="H57" s="6" t="s">
        <v>235</v>
      </c>
      <c r="I57" s="10">
        <v>325.4090582064992</v>
      </c>
      <c r="J57" s="10">
        <v>325.0956316318464</v>
      </c>
      <c r="K57" s="10">
        <v>353.84784999999999</v>
      </c>
      <c r="L57" s="10">
        <v>317.94676666666669</v>
      </c>
      <c r="M57" s="6" t="s">
        <v>239</v>
      </c>
      <c r="N57" s="6" t="s">
        <v>240</v>
      </c>
      <c r="O57" s="6" t="s">
        <v>236</v>
      </c>
      <c r="P57" s="6" t="s">
        <v>288</v>
      </c>
      <c r="Q57" s="10">
        <v>67.113187317822849</v>
      </c>
      <c r="R57" s="10">
        <v>62.785790581976698</v>
      </c>
    </row>
    <row r="58" spans="1:18" x14ac:dyDescent="0.25">
      <c r="A58" s="8">
        <v>54</v>
      </c>
      <c r="B58" s="8" t="s">
        <v>289</v>
      </c>
      <c r="C58" s="8" t="s">
        <v>42</v>
      </c>
      <c r="D58" s="8" t="s">
        <v>28</v>
      </c>
      <c r="E58" s="8" t="s">
        <v>33</v>
      </c>
      <c r="F58" s="8" t="s">
        <v>33</v>
      </c>
      <c r="G58" s="8" t="s">
        <v>260</v>
      </c>
      <c r="H58" s="8" t="s">
        <v>260</v>
      </c>
      <c r="I58" s="11">
        <v>324.46950740183598</v>
      </c>
      <c r="J58" s="11">
        <v>325.03344841128018</v>
      </c>
      <c r="K58" s="11">
        <v>417.36546666666669</v>
      </c>
      <c r="L58" s="11">
        <v>352.73333333333329</v>
      </c>
      <c r="M58" s="8" t="s">
        <v>278</v>
      </c>
      <c r="N58" s="8" t="s">
        <v>290</v>
      </c>
      <c r="O58" s="8" t="s">
        <v>261</v>
      </c>
      <c r="P58" s="8" t="s">
        <v>276</v>
      </c>
      <c r="Q58" s="11">
        <v>64.21541291915878</v>
      </c>
      <c r="R58" s="11">
        <v>59.707655911824418</v>
      </c>
    </row>
    <row r="61" spans="1:18" ht="27.95" customHeight="1" x14ac:dyDescent="0.25">
      <c r="A61" s="55" t="s">
        <v>304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</row>
    <row r="62" spans="1:18" ht="3.9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4" spans="1:18" ht="30" x14ac:dyDescent="0.25">
      <c r="A64" s="9" t="s">
        <v>59</v>
      </c>
      <c r="B64" s="9" t="s">
        <v>60</v>
      </c>
      <c r="C64" s="9" t="s">
        <v>292</v>
      </c>
      <c r="D64" s="9" t="s">
        <v>24</v>
      </c>
      <c r="E64" s="9" t="s">
        <v>61</v>
      </c>
      <c r="F64" s="9" t="s">
        <v>62</v>
      </c>
      <c r="G64" s="9" t="s">
        <v>293</v>
      </c>
      <c r="H64" s="9" t="s">
        <v>294</v>
      </c>
      <c r="I64" s="9" t="s">
        <v>295</v>
      </c>
      <c r="J64" s="9" t="s">
        <v>296</v>
      </c>
      <c r="K64" s="9" t="s">
        <v>297</v>
      </c>
      <c r="L64" s="9" t="s">
        <v>298</v>
      </c>
      <c r="M64" s="9" t="s">
        <v>299</v>
      </c>
    </row>
    <row r="65" spans="1:13" x14ac:dyDescent="0.25">
      <c r="A65" s="6">
        <v>1</v>
      </c>
      <c r="B65" s="6" t="s">
        <v>75</v>
      </c>
      <c r="C65" s="6" t="s">
        <v>300</v>
      </c>
      <c r="D65" s="6" t="s">
        <v>28</v>
      </c>
      <c r="E65" s="6" t="s">
        <v>35</v>
      </c>
      <c r="F65" s="6" t="s">
        <v>76</v>
      </c>
      <c r="G65" s="10">
        <v>30</v>
      </c>
      <c r="H65" s="10">
        <v>23.65</v>
      </c>
      <c r="I65" s="10">
        <v>25.7</v>
      </c>
      <c r="J65" s="10">
        <v>7.6</v>
      </c>
      <c r="K65" s="10">
        <v>61.423733333333331</v>
      </c>
      <c r="L65" s="10">
        <v>45.18333333333333</v>
      </c>
      <c r="M65" s="10">
        <v>150.2833333333333</v>
      </c>
    </row>
    <row r="66" spans="1:13" x14ac:dyDescent="0.25">
      <c r="A66" s="8">
        <v>1</v>
      </c>
      <c r="B66" s="8" t="s">
        <v>75</v>
      </c>
      <c r="C66" s="8" t="s">
        <v>301</v>
      </c>
      <c r="D66" s="8" t="s">
        <v>28</v>
      </c>
      <c r="E66" s="8" t="s">
        <v>35</v>
      </c>
      <c r="F66" s="8" t="s">
        <v>76</v>
      </c>
      <c r="G66" s="11">
        <v>0</v>
      </c>
      <c r="H66" s="11">
        <v>18.100000000000001</v>
      </c>
      <c r="I66" s="11">
        <v>6.6666666666666666E-2</v>
      </c>
      <c r="J66" s="11">
        <v>1.75</v>
      </c>
      <c r="K66" s="11">
        <v>57.690849999999998</v>
      </c>
      <c r="L66" s="11">
        <v>41.383333333333333</v>
      </c>
      <c r="M66" s="11">
        <v>192.51666666666671</v>
      </c>
    </row>
    <row r="67" spans="1:13" x14ac:dyDescent="0.25">
      <c r="A67" s="6">
        <v>2</v>
      </c>
      <c r="B67" s="6" t="s">
        <v>83</v>
      </c>
      <c r="C67" s="6" t="s">
        <v>300</v>
      </c>
      <c r="D67" s="6" t="s">
        <v>28</v>
      </c>
      <c r="E67" s="6" t="s">
        <v>35</v>
      </c>
      <c r="F67" s="6" t="s">
        <v>76</v>
      </c>
      <c r="G67" s="10">
        <v>30</v>
      </c>
      <c r="H67" s="10">
        <v>23.65</v>
      </c>
      <c r="I67" s="10">
        <v>25.7</v>
      </c>
      <c r="J67" s="10">
        <v>7.6</v>
      </c>
      <c r="K67" s="10">
        <v>61.423733333333331</v>
      </c>
      <c r="L67" s="10">
        <v>45.18333333333333</v>
      </c>
      <c r="M67" s="10">
        <v>150.2833333333333</v>
      </c>
    </row>
    <row r="68" spans="1:13" x14ac:dyDescent="0.25">
      <c r="A68" s="8">
        <v>2</v>
      </c>
      <c r="B68" s="8" t="s">
        <v>83</v>
      </c>
      <c r="C68" s="8" t="s">
        <v>301</v>
      </c>
      <c r="D68" s="8" t="s">
        <v>28</v>
      </c>
      <c r="E68" s="8" t="s">
        <v>35</v>
      </c>
      <c r="F68" s="8" t="s">
        <v>76</v>
      </c>
      <c r="G68" s="11">
        <v>0</v>
      </c>
      <c r="H68" s="11">
        <v>16.43333333333333</v>
      </c>
      <c r="I68" s="11">
        <v>6.9833333333333334</v>
      </c>
      <c r="J68" s="11">
        <v>5</v>
      </c>
      <c r="K68" s="11">
        <v>60.018216666666667</v>
      </c>
      <c r="L68" s="11">
        <v>42.633333333333333</v>
      </c>
      <c r="M68" s="11">
        <v>167.95</v>
      </c>
    </row>
    <row r="69" spans="1:13" x14ac:dyDescent="0.25">
      <c r="A69" s="6">
        <v>3</v>
      </c>
      <c r="B69" s="6" t="s">
        <v>87</v>
      </c>
      <c r="C69" s="6" t="s">
        <v>300</v>
      </c>
      <c r="D69" s="6" t="s">
        <v>28</v>
      </c>
      <c r="E69" s="6" t="s">
        <v>35</v>
      </c>
      <c r="F69" s="6" t="s">
        <v>88</v>
      </c>
      <c r="G69" s="10">
        <v>38.333333333333343</v>
      </c>
      <c r="H69" s="10">
        <v>10.56666666666667</v>
      </c>
      <c r="I69" s="10">
        <v>0</v>
      </c>
      <c r="J69" s="10">
        <v>0.66666666666666663</v>
      </c>
      <c r="K69" s="10">
        <v>49.31666666666667</v>
      </c>
      <c r="L69" s="10">
        <v>44.583333333333343</v>
      </c>
      <c r="M69" s="10">
        <v>202.15</v>
      </c>
    </row>
    <row r="70" spans="1:13" x14ac:dyDescent="0.25">
      <c r="A70" s="8">
        <v>3</v>
      </c>
      <c r="B70" s="8" t="s">
        <v>87</v>
      </c>
      <c r="C70" s="8" t="s">
        <v>301</v>
      </c>
      <c r="D70" s="8" t="s">
        <v>28</v>
      </c>
      <c r="E70" s="8" t="s">
        <v>35</v>
      </c>
      <c r="F70" s="8" t="s">
        <v>88</v>
      </c>
      <c r="G70" s="11">
        <v>0</v>
      </c>
      <c r="H70" s="11">
        <v>35.983333333333327</v>
      </c>
      <c r="I70" s="11">
        <v>0.35</v>
      </c>
      <c r="J70" s="11">
        <v>4.083333333333333</v>
      </c>
      <c r="K70" s="11">
        <v>62.087049999999998</v>
      </c>
      <c r="L70" s="11">
        <v>50.533333333333331</v>
      </c>
      <c r="M70" s="11">
        <v>205.36038333333329</v>
      </c>
    </row>
    <row r="71" spans="1:13" x14ac:dyDescent="0.25">
      <c r="A71" s="6">
        <v>4</v>
      </c>
      <c r="B71" s="6" t="s">
        <v>95</v>
      </c>
      <c r="C71" s="6" t="s">
        <v>300</v>
      </c>
      <c r="D71" s="6" t="s">
        <v>28</v>
      </c>
      <c r="E71" s="6" t="s">
        <v>29</v>
      </c>
      <c r="F71" s="6" t="s">
        <v>96</v>
      </c>
      <c r="G71" s="10">
        <v>0</v>
      </c>
      <c r="H71" s="10">
        <v>25.883333333333329</v>
      </c>
      <c r="I71" s="10">
        <v>8.15</v>
      </c>
      <c r="J71" s="10">
        <v>8.0166666666666675</v>
      </c>
      <c r="K71" s="10">
        <v>55.883333333333333</v>
      </c>
      <c r="L71" s="10">
        <v>40.116666666666667</v>
      </c>
      <c r="M71" s="10">
        <v>102.3936333333333</v>
      </c>
    </row>
    <row r="72" spans="1:13" x14ac:dyDescent="0.25">
      <c r="A72" s="8">
        <v>4</v>
      </c>
      <c r="B72" s="8" t="s">
        <v>95</v>
      </c>
      <c r="C72" s="8" t="s">
        <v>301</v>
      </c>
      <c r="D72" s="8" t="s">
        <v>28</v>
      </c>
      <c r="E72" s="8" t="s">
        <v>29</v>
      </c>
      <c r="F72" s="8" t="s">
        <v>96</v>
      </c>
      <c r="G72" s="11">
        <v>0</v>
      </c>
      <c r="H72" s="11">
        <v>69.483333333333334</v>
      </c>
      <c r="I72" s="11">
        <v>9.9499999999999993</v>
      </c>
      <c r="J72" s="11">
        <v>1.716666666666667</v>
      </c>
      <c r="K72" s="11">
        <v>25.133333333333329</v>
      </c>
      <c r="L72" s="11">
        <v>23.43333333333333</v>
      </c>
      <c r="M72" s="11">
        <v>144.6333333333333</v>
      </c>
    </row>
    <row r="73" spans="1:13" x14ac:dyDescent="0.25">
      <c r="A73" s="6">
        <v>5</v>
      </c>
      <c r="B73" s="6" t="s">
        <v>102</v>
      </c>
      <c r="C73" s="6" t="s">
        <v>300</v>
      </c>
      <c r="D73" s="6" t="s">
        <v>28</v>
      </c>
      <c r="E73" s="6" t="s">
        <v>29</v>
      </c>
      <c r="F73" s="6" t="s">
        <v>96</v>
      </c>
      <c r="G73" s="10">
        <v>0</v>
      </c>
      <c r="H73" s="10">
        <v>25.883333333333329</v>
      </c>
      <c r="I73" s="10">
        <v>4.9333333333333336</v>
      </c>
      <c r="J73" s="10">
        <v>5.9333333333333336</v>
      </c>
      <c r="K73" s="10">
        <v>52.333333333333343</v>
      </c>
      <c r="L73" s="10">
        <v>37.574966666666668</v>
      </c>
      <c r="M73" s="10">
        <v>82.933616666666666</v>
      </c>
    </row>
    <row r="74" spans="1:13" x14ac:dyDescent="0.25">
      <c r="A74" s="8">
        <v>5</v>
      </c>
      <c r="B74" s="8" t="s">
        <v>102</v>
      </c>
      <c r="C74" s="8" t="s">
        <v>301</v>
      </c>
      <c r="D74" s="8" t="s">
        <v>28</v>
      </c>
      <c r="E74" s="8" t="s">
        <v>29</v>
      </c>
      <c r="F74" s="8" t="s">
        <v>96</v>
      </c>
      <c r="G74" s="11">
        <v>0</v>
      </c>
      <c r="H74" s="11">
        <v>31.8</v>
      </c>
      <c r="I74" s="11">
        <v>0</v>
      </c>
      <c r="J74" s="11">
        <v>1.5</v>
      </c>
      <c r="K74" s="11">
        <v>30.466666666666669</v>
      </c>
      <c r="L74" s="11">
        <v>23</v>
      </c>
      <c r="M74" s="11">
        <v>134.3833333333333</v>
      </c>
    </row>
    <row r="75" spans="1:13" x14ac:dyDescent="0.25">
      <c r="A75" s="6">
        <v>6</v>
      </c>
      <c r="B75" s="6" t="s">
        <v>108</v>
      </c>
      <c r="C75" s="6" t="s">
        <v>300</v>
      </c>
      <c r="D75" s="6" t="s">
        <v>28</v>
      </c>
      <c r="E75" s="6" t="s">
        <v>29</v>
      </c>
      <c r="F75" s="6" t="s">
        <v>96</v>
      </c>
      <c r="G75" s="10">
        <v>0</v>
      </c>
      <c r="H75" s="10">
        <v>30.18333333333333</v>
      </c>
      <c r="I75" s="10">
        <v>14.29151666666667</v>
      </c>
      <c r="J75" s="10">
        <v>2.1</v>
      </c>
      <c r="K75" s="10">
        <v>48.092233333333333</v>
      </c>
      <c r="L75" s="10">
        <v>33.450000000000003</v>
      </c>
      <c r="M75" s="10">
        <v>93.4</v>
      </c>
    </row>
    <row r="76" spans="1:13" x14ac:dyDescent="0.25">
      <c r="A76" s="8">
        <v>6</v>
      </c>
      <c r="B76" s="8" t="s">
        <v>108</v>
      </c>
      <c r="C76" s="8" t="s">
        <v>301</v>
      </c>
      <c r="D76" s="8" t="s">
        <v>28</v>
      </c>
      <c r="E76" s="8" t="s">
        <v>29</v>
      </c>
      <c r="F76" s="8" t="s">
        <v>96</v>
      </c>
      <c r="G76" s="11">
        <v>0</v>
      </c>
      <c r="H76" s="11">
        <v>69.483333333333334</v>
      </c>
      <c r="I76" s="11">
        <v>9.9499999999999993</v>
      </c>
      <c r="J76" s="11">
        <v>1.716666666666667</v>
      </c>
      <c r="K76" s="11">
        <v>25.133333333333329</v>
      </c>
      <c r="L76" s="11">
        <v>23.43333333333333</v>
      </c>
      <c r="M76" s="11">
        <v>144.6333333333333</v>
      </c>
    </row>
    <row r="77" spans="1:13" x14ac:dyDescent="0.25">
      <c r="A77" s="6">
        <v>7</v>
      </c>
      <c r="B77" s="6" t="s">
        <v>111</v>
      </c>
      <c r="C77" s="6" t="s">
        <v>300</v>
      </c>
      <c r="D77" s="6" t="s">
        <v>28</v>
      </c>
      <c r="E77" s="6" t="s">
        <v>29</v>
      </c>
      <c r="F77" s="6" t="s">
        <v>96</v>
      </c>
      <c r="G77" s="10">
        <v>0</v>
      </c>
      <c r="H77" s="10">
        <v>29.40441666666667</v>
      </c>
      <c r="I77" s="10">
        <v>9.2371500000000015</v>
      </c>
      <c r="J77" s="10">
        <v>8.0166666666666675</v>
      </c>
      <c r="K77" s="10">
        <v>55.05</v>
      </c>
      <c r="L77" s="10">
        <v>38.85</v>
      </c>
      <c r="M77" s="10">
        <v>92.333333333333329</v>
      </c>
    </row>
    <row r="78" spans="1:13" x14ac:dyDescent="0.25">
      <c r="A78" s="8">
        <v>7</v>
      </c>
      <c r="B78" s="8" t="s">
        <v>111</v>
      </c>
      <c r="C78" s="8" t="s">
        <v>301</v>
      </c>
      <c r="D78" s="8" t="s">
        <v>28</v>
      </c>
      <c r="E78" s="8" t="s">
        <v>29</v>
      </c>
      <c r="F78" s="8" t="s">
        <v>96</v>
      </c>
      <c r="G78" s="11">
        <v>0</v>
      </c>
      <c r="H78" s="11">
        <v>71.083333333333329</v>
      </c>
      <c r="I78" s="11">
        <v>4.05</v>
      </c>
      <c r="J78" s="11">
        <v>11.6</v>
      </c>
      <c r="K78" s="11">
        <v>38.68333333333333</v>
      </c>
      <c r="L78" s="11">
        <v>26.81666666666667</v>
      </c>
      <c r="M78" s="11">
        <v>116.98333333333331</v>
      </c>
    </row>
    <row r="79" spans="1:13" x14ac:dyDescent="0.25">
      <c r="A79" s="6">
        <v>8</v>
      </c>
      <c r="B79" s="6" t="s">
        <v>117</v>
      </c>
      <c r="C79" s="6" t="s">
        <v>300</v>
      </c>
      <c r="D79" s="6" t="s">
        <v>28</v>
      </c>
      <c r="E79" s="6" t="s">
        <v>29</v>
      </c>
      <c r="F79" s="6" t="s">
        <v>96</v>
      </c>
      <c r="G79" s="10">
        <v>0</v>
      </c>
      <c r="H79" s="10">
        <v>12.03333333333333</v>
      </c>
      <c r="I79" s="10">
        <v>4.75</v>
      </c>
      <c r="J79" s="10">
        <v>0</v>
      </c>
      <c r="K79" s="10">
        <v>46.9</v>
      </c>
      <c r="L79" s="10">
        <v>35.549999999999997</v>
      </c>
      <c r="M79" s="10">
        <v>100.5468</v>
      </c>
    </row>
    <row r="80" spans="1:13" x14ac:dyDescent="0.25">
      <c r="A80" s="8">
        <v>8</v>
      </c>
      <c r="B80" s="8" t="s">
        <v>117</v>
      </c>
      <c r="C80" s="8" t="s">
        <v>301</v>
      </c>
      <c r="D80" s="8" t="s">
        <v>28</v>
      </c>
      <c r="E80" s="8" t="s">
        <v>29</v>
      </c>
      <c r="F80" s="8" t="s">
        <v>96</v>
      </c>
      <c r="G80" s="11">
        <v>0</v>
      </c>
      <c r="H80" s="11">
        <v>69.483333333333334</v>
      </c>
      <c r="I80" s="11">
        <v>9.9499999999999993</v>
      </c>
      <c r="J80" s="11">
        <v>1.2666666666666671</v>
      </c>
      <c r="K80" s="11">
        <v>25.12543333333333</v>
      </c>
      <c r="L80" s="11">
        <v>23.43333333333333</v>
      </c>
      <c r="M80" s="11">
        <v>143.44999999999999</v>
      </c>
    </row>
    <row r="81" spans="1:13" x14ac:dyDescent="0.25">
      <c r="A81" s="6">
        <v>9</v>
      </c>
      <c r="B81" s="6" t="s">
        <v>121</v>
      </c>
      <c r="C81" s="6" t="s">
        <v>300</v>
      </c>
      <c r="D81" s="6" t="s">
        <v>28</v>
      </c>
      <c r="E81" s="6" t="s">
        <v>29</v>
      </c>
      <c r="F81" s="6" t="s">
        <v>96</v>
      </c>
      <c r="G81" s="10">
        <v>0</v>
      </c>
      <c r="H81" s="10">
        <v>68.95</v>
      </c>
      <c r="I81" s="10">
        <v>8.15</v>
      </c>
      <c r="J81" s="10">
        <v>8.0166666666666675</v>
      </c>
      <c r="K81" s="10">
        <v>58.3</v>
      </c>
      <c r="L81" s="10">
        <v>42.616666666666667</v>
      </c>
      <c r="M81" s="10">
        <v>113.4713666666667</v>
      </c>
    </row>
    <row r="82" spans="1:13" x14ac:dyDescent="0.25">
      <c r="A82" s="8">
        <v>9</v>
      </c>
      <c r="B82" s="8" t="s">
        <v>121</v>
      </c>
      <c r="C82" s="8" t="s">
        <v>301</v>
      </c>
      <c r="D82" s="8" t="s">
        <v>28</v>
      </c>
      <c r="E82" s="8" t="s">
        <v>29</v>
      </c>
      <c r="F82" s="8" t="s">
        <v>96</v>
      </c>
      <c r="G82" s="11">
        <v>0</v>
      </c>
      <c r="H82" s="11">
        <v>48.18333333333333</v>
      </c>
      <c r="I82" s="11">
        <v>17.666666666666671</v>
      </c>
      <c r="J82" s="11">
        <v>9.9</v>
      </c>
      <c r="K82" s="11">
        <v>51.033333333333331</v>
      </c>
      <c r="L82" s="11">
        <v>37.133333333333333</v>
      </c>
      <c r="M82" s="11">
        <v>121.65</v>
      </c>
    </row>
    <row r="83" spans="1:13" x14ac:dyDescent="0.25">
      <c r="A83" s="6">
        <v>10</v>
      </c>
      <c r="B83" s="6" t="s">
        <v>126</v>
      </c>
      <c r="C83" s="6" t="s">
        <v>300</v>
      </c>
      <c r="D83" s="6" t="s">
        <v>28</v>
      </c>
      <c r="E83" s="6" t="s">
        <v>29</v>
      </c>
      <c r="F83" s="6" t="s">
        <v>96</v>
      </c>
      <c r="G83" s="10">
        <v>0</v>
      </c>
      <c r="H83" s="10">
        <v>35.56666666666667</v>
      </c>
      <c r="I83" s="10">
        <v>26.165716666666661</v>
      </c>
      <c r="J83" s="10">
        <v>2.0499999999999998</v>
      </c>
      <c r="K83" s="10">
        <v>63.035266666666672</v>
      </c>
      <c r="L83" s="10">
        <v>45.45</v>
      </c>
      <c r="M83" s="10">
        <v>75</v>
      </c>
    </row>
    <row r="84" spans="1:13" x14ac:dyDescent="0.25">
      <c r="A84" s="8">
        <v>10</v>
      </c>
      <c r="B84" s="8" t="s">
        <v>126</v>
      </c>
      <c r="C84" s="8" t="s">
        <v>301</v>
      </c>
      <c r="D84" s="8" t="s">
        <v>28</v>
      </c>
      <c r="E84" s="8" t="s">
        <v>29</v>
      </c>
      <c r="F84" s="8" t="s">
        <v>96</v>
      </c>
      <c r="G84" s="11">
        <v>0</v>
      </c>
      <c r="H84" s="11">
        <v>69.483333333333334</v>
      </c>
      <c r="I84" s="11">
        <v>9.9499999999999993</v>
      </c>
      <c r="J84" s="11">
        <v>1.716666666666667</v>
      </c>
      <c r="K84" s="11">
        <v>25.133333333333329</v>
      </c>
      <c r="L84" s="11">
        <v>23.43333333333333</v>
      </c>
      <c r="M84" s="11">
        <v>144.6333333333333</v>
      </c>
    </row>
    <row r="85" spans="1:13" x14ac:dyDescent="0.25">
      <c r="A85" s="6">
        <v>11</v>
      </c>
      <c r="B85" s="6" t="s">
        <v>129</v>
      </c>
      <c r="C85" s="6" t="s">
        <v>300</v>
      </c>
      <c r="D85" s="6" t="s">
        <v>28</v>
      </c>
      <c r="E85" s="6" t="s">
        <v>29</v>
      </c>
      <c r="F85" s="6" t="s">
        <v>130</v>
      </c>
      <c r="G85" s="10">
        <v>0</v>
      </c>
      <c r="H85" s="10">
        <v>43.485533333333343</v>
      </c>
      <c r="I85" s="10">
        <v>7.55</v>
      </c>
      <c r="J85" s="10">
        <v>4.0999999999999996</v>
      </c>
      <c r="K85" s="10">
        <v>52.5</v>
      </c>
      <c r="L85" s="10">
        <v>37.471449999999997</v>
      </c>
      <c r="M85" s="10">
        <v>96.266666666666666</v>
      </c>
    </row>
    <row r="86" spans="1:13" x14ac:dyDescent="0.25">
      <c r="A86" s="8">
        <v>11</v>
      </c>
      <c r="B86" s="8" t="s">
        <v>129</v>
      </c>
      <c r="C86" s="8" t="s">
        <v>301</v>
      </c>
      <c r="D86" s="8" t="s">
        <v>28</v>
      </c>
      <c r="E86" s="8" t="s">
        <v>29</v>
      </c>
      <c r="F86" s="8" t="s">
        <v>130</v>
      </c>
      <c r="G86" s="11">
        <v>0</v>
      </c>
      <c r="H86" s="11">
        <v>36.983333333333327</v>
      </c>
      <c r="I86" s="11">
        <v>4.5</v>
      </c>
      <c r="J86" s="11">
        <v>1.6166666666666669</v>
      </c>
      <c r="K86" s="11">
        <v>42.43333333333333</v>
      </c>
      <c r="L86" s="11">
        <v>34.950000000000003</v>
      </c>
      <c r="M86" s="11">
        <v>121.1324333333333</v>
      </c>
    </row>
    <row r="87" spans="1:13" x14ac:dyDescent="0.25">
      <c r="A87" s="6">
        <v>12</v>
      </c>
      <c r="B87" s="6" t="s">
        <v>136</v>
      </c>
      <c r="C87" s="6" t="s">
        <v>300</v>
      </c>
      <c r="D87" s="6" t="s">
        <v>28</v>
      </c>
      <c r="E87" s="6" t="s">
        <v>29</v>
      </c>
      <c r="F87" s="6" t="s">
        <v>130</v>
      </c>
      <c r="G87" s="10">
        <v>0</v>
      </c>
      <c r="H87" s="10">
        <v>26.368866666666669</v>
      </c>
      <c r="I87" s="10">
        <v>7.3148666666666662</v>
      </c>
      <c r="J87" s="10">
        <v>0</v>
      </c>
      <c r="K87" s="10">
        <v>48.733333333333327</v>
      </c>
      <c r="L87" s="10">
        <v>36.266666666666673</v>
      </c>
      <c r="M87" s="10">
        <v>81.2</v>
      </c>
    </row>
    <row r="88" spans="1:13" x14ac:dyDescent="0.25">
      <c r="A88" s="8">
        <v>12</v>
      </c>
      <c r="B88" s="8" t="s">
        <v>136</v>
      </c>
      <c r="C88" s="8" t="s">
        <v>301</v>
      </c>
      <c r="D88" s="8" t="s">
        <v>28</v>
      </c>
      <c r="E88" s="8" t="s">
        <v>29</v>
      </c>
      <c r="F88" s="8" t="s">
        <v>130</v>
      </c>
      <c r="G88" s="11">
        <v>0</v>
      </c>
      <c r="H88" s="11">
        <v>23.716666666666669</v>
      </c>
      <c r="I88" s="11">
        <v>4.4333333333333336</v>
      </c>
      <c r="J88" s="11">
        <v>9.5500000000000007</v>
      </c>
      <c r="K88" s="11">
        <v>50.65</v>
      </c>
      <c r="L88" s="11">
        <v>34.233333333333327</v>
      </c>
      <c r="M88" s="11">
        <v>109.3</v>
      </c>
    </row>
    <row r="89" spans="1:13" x14ac:dyDescent="0.25">
      <c r="A89" s="6">
        <v>13</v>
      </c>
      <c r="B89" s="6" t="s">
        <v>141</v>
      </c>
      <c r="C89" s="6" t="s">
        <v>300</v>
      </c>
      <c r="D89" s="6" t="s">
        <v>28</v>
      </c>
      <c r="E89" s="6" t="s">
        <v>29</v>
      </c>
      <c r="F89" s="6" t="s">
        <v>130</v>
      </c>
      <c r="G89" s="10">
        <v>0</v>
      </c>
      <c r="H89" s="10">
        <v>32.85</v>
      </c>
      <c r="I89" s="10">
        <v>9.1368999999999989</v>
      </c>
      <c r="J89" s="10">
        <v>5.6833333333333336</v>
      </c>
      <c r="K89" s="10">
        <v>57.616666666666667</v>
      </c>
      <c r="L89" s="10">
        <v>44.190649999999998</v>
      </c>
      <c r="M89" s="10">
        <v>102.23333333333331</v>
      </c>
    </row>
    <row r="90" spans="1:13" x14ac:dyDescent="0.25">
      <c r="A90" s="8">
        <v>13</v>
      </c>
      <c r="B90" s="8" t="s">
        <v>141</v>
      </c>
      <c r="C90" s="8" t="s">
        <v>301</v>
      </c>
      <c r="D90" s="8" t="s">
        <v>28</v>
      </c>
      <c r="E90" s="8" t="s">
        <v>29</v>
      </c>
      <c r="F90" s="8" t="s">
        <v>130</v>
      </c>
      <c r="G90" s="11">
        <v>0</v>
      </c>
      <c r="H90" s="11">
        <v>36.983333333333327</v>
      </c>
      <c r="I90" s="11">
        <v>4.5</v>
      </c>
      <c r="J90" s="11">
        <v>1.6166666666666669</v>
      </c>
      <c r="K90" s="11">
        <v>42.43333333333333</v>
      </c>
      <c r="L90" s="11">
        <v>34.950000000000003</v>
      </c>
      <c r="M90" s="11">
        <v>121.1324333333333</v>
      </c>
    </row>
    <row r="91" spans="1:13" x14ac:dyDescent="0.25">
      <c r="A91" s="6">
        <v>14</v>
      </c>
      <c r="B91" s="6" t="s">
        <v>144</v>
      </c>
      <c r="C91" s="6" t="s">
        <v>300</v>
      </c>
      <c r="D91" s="6" t="s">
        <v>28</v>
      </c>
      <c r="E91" s="6" t="s">
        <v>29</v>
      </c>
      <c r="F91" s="6" t="s">
        <v>130</v>
      </c>
      <c r="G91" s="10">
        <v>0</v>
      </c>
      <c r="H91" s="10">
        <v>35.5</v>
      </c>
      <c r="I91" s="10">
        <v>6.9833333333333334</v>
      </c>
      <c r="J91" s="10">
        <v>4.0999999999999996</v>
      </c>
      <c r="K91" s="10">
        <v>44.283333333333331</v>
      </c>
      <c r="L91" s="10">
        <v>31.216666666666669</v>
      </c>
      <c r="M91" s="10">
        <v>83.670550000000006</v>
      </c>
    </row>
    <row r="92" spans="1:13" x14ac:dyDescent="0.25">
      <c r="A92" s="8">
        <v>14</v>
      </c>
      <c r="B92" s="8" t="s">
        <v>144</v>
      </c>
      <c r="C92" s="8" t="s">
        <v>301</v>
      </c>
      <c r="D92" s="8" t="s">
        <v>28</v>
      </c>
      <c r="E92" s="8" t="s">
        <v>29</v>
      </c>
      <c r="F92" s="8" t="s">
        <v>130</v>
      </c>
      <c r="G92" s="11">
        <v>0</v>
      </c>
      <c r="H92" s="11">
        <v>21.383333333333329</v>
      </c>
      <c r="I92" s="11">
        <v>1</v>
      </c>
      <c r="J92" s="11">
        <v>0</v>
      </c>
      <c r="K92" s="11">
        <v>39.18333333333333</v>
      </c>
      <c r="L92" s="11">
        <v>30.466666666666669</v>
      </c>
      <c r="M92" s="11">
        <v>102.92506666666669</v>
      </c>
    </row>
    <row r="93" spans="1:13" x14ac:dyDescent="0.25">
      <c r="A93" s="6">
        <v>15</v>
      </c>
      <c r="B93" s="6" t="s">
        <v>150</v>
      </c>
      <c r="C93" s="6" t="s">
        <v>300</v>
      </c>
      <c r="D93" s="6" t="s">
        <v>28</v>
      </c>
      <c r="E93" s="6" t="s">
        <v>29</v>
      </c>
      <c r="F93" s="6" t="s">
        <v>130</v>
      </c>
      <c r="G93" s="10">
        <v>0</v>
      </c>
      <c r="H93" s="10">
        <v>34.497033333333327</v>
      </c>
      <c r="I93" s="10">
        <v>3.6833333333333331</v>
      </c>
      <c r="J93" s="10">
        <v>5.2666666666666666</v>
      </c>
      <c r="K93" s="10">
        <v>54.2</v>
      </c>
      <c r="L93" s="10">
        <v>34.928283333333333</v>
      </c>
      <c r="M93" s="10">
        <v>90.466666666666669</v>
      </c>
    </row>
    <row r="94" spans="1:13" x14ac:dyDescent="0.25">
      <c r="A94" s="8">
        <v>15</v>
      </c>
      <c r="B94" s="8" t="s">
        <v>150</v>
      </c>
      <c r="C94" s="8" t="s">
        <v>301</v>
      </c>
      <c r="D94" s="8" t="s">
        <v>28</v>
      </c>
      <c r="E94" s="8" t="s">
        <v>29</v>
      </c>
      <c r="F94" s="8" t="s">
        <v>130</v>
      </c>
      <c r="G94" s="11">
        <v>0</v>
      </c>
      <c r="H94" s="11">
        <v>36.983333333333327</v>
      </c>
      <c r="I94" s="11">
        <v>4.5</v>
      </c>
      <c r="J94" s="11">
        <v>1.6166666666666669</v>
      </c>
      <c r="K94" s="11">
        <v>42.43333333333333</v>
      </c>
      <c r="L94" s="11">
        <v>34.950000000000003</v>
      </c>
      <c r="M94" s="11">
        <v>121.1324333333333</v>
      </c>
    </row>
    <row r="95" spans="1:13" x14ac:dyDescent="0.25">
      <c r="A95" s="6">
        <v>16</v>
      </c>
      <c r="B95" s="6" t="s">
        <v>153</v>
      </c>
      <c r="C95" s="6" t="s">
        <v>300</v>
      </c>
      <c r="D95" s="6" t="s">
        <v>28</v>
      </c>
      <c r="E95" s="6" t="s">
        <v>29</v>
      </c>
      <c r="F95" s="6" t="s">
        <v>130</v>
      </c>
      <c r="G95" s="10">
        <v>0</v>
      </c>
      <c r="H95" s="10">
        <v>43.485533333333343</v>
      </c>
      <c r="I95" s="10">
        <v>9.5500000000000007</v>
      </c>
      <c r="J95" s="10">
        <v>6.7833333333333332</v>
      </c>
      <c r="K95" s="10">
        <v>55.4</v>
      </c>
      <c r="L95" s="10">
        <v>40.216666666666669</v>
      </c>
      <c r="M95" s="10">
        <v>120.6666666666667</v>
      </c>
    </row>
    <row r="96" spans="1:13" x14ac:dyDescent="0.25">
      <c r="A96" s="8">
        <v>16</v>
      </c>
      <c r="B96" s="8" t="s">
        <v>153</v>
      </c>
      <c r="C96" s="8" t="s">
        <v>301</v>
      </c>
      <c r="D96" s="8" t="s">
        <v>28</v>
      </c>
      <c r="E96" s="8" t="s">
        <v>29</v>
      </c>
      <c r="F96" s="8" t="s">
        <v>130</v>
      </c>
      <c r="G96" s="11">
        <v>0</v>
      </c>
      <c r="H96" s="11">
        <v>26.333333333333329</v>
      </c>
      <c r="I96" s="11">
        <v>10.016666666666669</v>
      </c>
      <c r="J96" s="11">
        <v>14.483333333333331</v>
      </c>
      <c r="K96" s="11">
        <v>52.6</v>
      </c>
      <c r="L96" s="11">
        <v>41.9</v>
      </c>
      <c r="M96" s="11">
        <v>146.02638333333331</v>
      </c>
    </row>
    <row r="97" spans="1:13" x14ac:dyDescent="0.25">
      <c r="A97" s="6">
        <v>17</v>
      </c>
      <c r="B97" s="6" t="s">
        <v>158</v>
      </c>
      <c r="C97" s="6" t="s">
        <v>300</v>
      </c>
      <c r="D97" s="6" t="s">
        <v>28</v>
      </c>
      <c r="E97" s="6" t="s">
        <v>29</v>
      </c>
      <c r="F97" s="6" t="s">
        <v>130</v>
      </c>
      <c r="G97" s="10">
        <v>0</v>
      </c>
      <c r="H97" s="10">
        <v>35.1</v>
      </c>
      <c r="I97" s="10">
        <v>12.7</v>
      </c>
      <c r="J97" s="10">
        <v>3.9333333333333331</v>
      </c>
      <c r="K97" s="10">
        <v>68.016666666666666</v>
      </c>
      <c r="L97" s="10">
        <v>51.253116666666664</v>
      </c>
      <c r="M97" s="10">
        <v>71.584483333333338</v>
      </c>
    </row>
    <row r="98" spans="1:13" x14ac:dyDescent="0.25">
      <c r="A98" s="8">
        <v>17</v>
      </c>
      <c r="B98" s="8" t="s">
        <v>158</v>
      </c>
      <c r="C98" s="8" t="s">
        <v>301</v>
      </c>
      <c r="D98" s="8" t="s">
        <v>28</v>
      </c>
      <c r="E98" s="8" t="s">
        <v>29</v>
      </c>
      <c r="F98" s="8" t="s">
        <v>130</v>
      </c>
      <c r="G98" s="11">
        <v>0</v>
      </c>
      <c r="H98" s="11">
        <v>36.983333333333327</v>
      </c>
      <c r="I98" s="11">
        <v>4.5</v>
      </c>
      <c r="J98" s="11">
        <v>1.6166666666666669</v>
      </c>
      <c r="K98" s="11">
        <v>42.43333333333333</v>
      </c>
      <c r="L98" s="11">
        <v>34.950000000000003</v>
      </c>
      <c r="M98" s="11">
        <v>122.04485</v>
      </c>
    </row>
    <row r="99" spans="1:13" x14ac:dyDescent="0.25">
      <c r="A99" s="6">
        <v>18</v>
      </c>
      <c r="B99" s="6" t="s">
        <v>162</v>
      </c>
      <c r="C99" s="6" t="s">
        <v>300</v>
      </c>
      <c r="D99" s="6" t="s">
        <v>28</v>
      </c>
      <c r="E99" s="6" t="s">
        <v>29</v>
      </c>
      <c r="F99" s="6" t="s">
        <v>96</v>
      </c>
      <c r="G99" s="10">
        <v>0</v>
      </c>
      <c r="H99" s="10">
        <v>30.18333333333333</v>
      </c>
      <c r="I99" s="10">
        <v>12.0548</v>
      </c>
      <c r="J99" s="10">
        <v>2.1</v>
      </c>
      <c r="K99" s="10">
        <v>43.833333333333343</v>
      </c>
      <c r="L99" s="10">
        <v>30.25</v>
      </c>
      <c r="M99" s="10">
        <v>87.221950000000007</v>
      </c>
    </row>
    <row r="100" spans="1:13" x14ac:dyDescent="0.25">
      <c r="A100" s="8">
        <v>18</v>
      </c>
      <c r="B100" s="8" t="s">
        <v>162</v>
      </c>
      <c r="C100" s="8" t="s">
        <v>301</v>
      </c>
      <c r="D100" s="8" t="s">
        <v>28</v>
      </c>
      <c r="E100" s="8" t="s">
        <v>29</v>
      </c>
      <c r="F100" s="8" t="s">
        <v>96</v>
      </c>
      <c r="G100" s="11">
        <v>0</v>
      </c>
      <c r="H100" s="11">
        <v>31.8</v>
      </c>
      <c r="I100" s="11">
        <v>0</v>
      </c>
      <c r="J100" s="11">
        <v>1.5</v>
      </c>
      <c r="K100" s="11">
        <v>30.466666666666669</v>
      </c>
      <c r="L100" s="11">
        <v>23</v>
      </c>
      <c r="M100" s="11">
        <v>134.3833333333333</v>
      </c>
    </row>
    <row r="101" spans="1:13" x14ac:dyDescent="0.25">
      <c r="A101" s="6">
        <v>19</v>
      </c>
      <c r="B101" s="6" t="s">
        <v>165</v>
      </c>
      <c r="C101" s="6" t="s">
        <v>300</v>
      </c>
      <c r="D101" s="6" t="s">
        <v>28</v>
      </c>
      <c r="E101" s="6" t="s">
        <v>29</v>
      </c>
      <c r="F101" s="6" t="s">
        <v>96</v>
      </c>
      <c r="G101" s="10">
        <v>0</v>
      </c>
      <c r="H101" s="10">
        <v>30.18333333333333</v>
      </c>
      <c r="I101" s="10">
        <v>13.90325</v>
      </c>
      <c r="J101" s="10">
        <v>4.2333333333333334</v>
      </c>
      <c r="K101" s="10">
        <v>46.35</v>
      </c>
      <c r="L101" s="10">
        <v>31.983333333333331</v>
      </c>
      <c r="M101" s="10">
        <v>93.283333333333331</v>
      </c>
    </row>
    <row r="102" spans="1:13" x14ac:dyDescent="0.25">
      <c r="A102" s="8">
        <v>19</v>
      </c>
      <c r="B102" s="8" t="s">
        <v>165</v>
      </c>
      <c r="C102" s="8" t="s">
        <v>301</v>
      </c>
      <c r="D102" s="8" t="s">
        <v>28</v>
      </c>
      <c r="E102" s="8" t="s">
        <v>29</v>
      </c>
      <c r="F102" s="8" t="s">
        <v>96</v>
      </c>
      <c r="G102" s="11">
        <v>0</v>
      </c>
      <c r="H102" s="11">
        <v>71.083333333333329</v>
      </c>
      <c r="I102" s="11">
        <v>4.05</v>
      </c>
      <c r="J102" s="11">
        <v>11.6</v>
      </c>
      <c r="K102" s="11">
        <v>38.68333333333333</v>
      </c>
      <c r="L102" s="11">
        <v>26.81666666666667</v>
      </c>
      <c r="M102" s="11">
        <v>116.98333333333331</v>
      </c>
    </row>
    <row r="103" spans="1:13" x14ac:dyDescent="0.25">
      <c r="A103" s="6">
        <v>20</v>
      </c>
      <c r="B103" s="6" t="s">
        <v>168</v>
      </c>
      <c r="C103" s="6" t="s">
        <v>300</v>
      </c>
      <c r="D103" s="6" t="s">
        <v>28</v>
      </c>
      <c r="E103" s="6" t="s">
        <v>29</v>
      </c>
      <c r="F103" s="6" t="s">
        <v>96</v>
      </c>
      <c r="G103" s="10">
        <v>0</v>
      </c>
      <c r="H103" s="10">
        <v>8.9333333333333336</v>
      </c>
      <c r="I103" s="10">
        <v>4.7779333333333334</v>
      </c>
      <c r="J103" s="10">
        <v>0</v>
      </c>
      <c r="K103" s="10">
        <v>45.070950000000003</v>
      </c>
      <c r="L103" s="10">
        <v>34.966666666666669</v>
      </c>
      <c r="M103" s="10">
        <v>92.36666666666666</v>
      </c>
    </row>
    <row r="104" spans="1:13" x14ac:dyDescent="0.25">
      <c r="A104" s="8">
        <v>20</v>
      </c>
      <c r="B104" s="8" t="s">
        <v>168</v>
      </c>
      <c r="C104" s="8" t="s">
        <v>301</v>
      </c>
      <c r="D104" s="8" t="s">
        <v>28</v>
      </c>
      <c r="E104" s="8" t="s">
        <v>29</v>
      </c>
      <c r="F104" s="8" t="s">
        <v>96</v>
      </c>
      <c r="G104" s="11">
        <v>0</v>
      </c>
      <c r="H104" s="11">
        <v>31.8</v>
      </c>
      <c r="I104" s="11">
        <v>0</v>
      </c>
      <c r="J104" s="11">
        <v>1.5</v>
      </c>
      <c r="K104" s="11">
        <v>30.466666666666669</v>
      </c>
      <c r="L104" s="11">
        <v>23</v>
      </c>
      <c r="M104" s="11">
        <v>134.3833333333333</v>
      </c>
    </row>
    <row r="105" spans="1:13" x14ac:dyDescent="0.25">
      <c r="A105" s="6">
        <v>21</v>
      </c>
      <c r="B105" s="6" t="s">
        <v>171</v>
      </c>
      <c r="C105" s="6" t="s">
        <v>300</v>
      </c>
      <c r="D105" s="6" t="s">
        <v>28</v>
      </c>
      <c r="E105" s="6" t="s">
        <v>29</v>
      </c>
      <c r="F105" s="6" t="s">
        <v>96</v>
      </c>
      <c r="G105" s="10">
        <v>0</v>
      </c>
      <c r="H105" s="10">
        <v>30.18333333333333</v>
      </c>
      <c r="I105" s="10">
        <v>15.93333333333333</v>
      </c>
      <c r="J105" s="10">
        <v>2.1</v>
      </c>
      <c r="K105" s="10">
        <v>50.65</v>
      </c>
      <c r="L105" s="10">
        <v>37.059549999999987</v>
      </c>
      <c r="M105" s="10">
        <v>99.805283333333335</v>
      </c>
    </row>
    <row r="106" spans="1:13" x14ac:dyDescent="0.25">
      <c r="A106" s="8">
        <v>21</v>
      </c>
      <c r="B106" s="8" t="s">
        <v>171</v>
      </c>
      <c r="C106" s="8" t="s">
        <v>301</v>
      </c>
      <c r="D106" s="8" t="s">
        <v>28</v>
      </c>
      <c r="E106" s="8" t="s">
        <v>29</v>
      </c>
      <c r="F106" s="8" t="s">
        <v>96</v>
      </c>
      <c r="G106" s="11">
        <v>0</v>
      </c>
      <c r="H106" s="11">
        <v>48.18333333333333</v>
      </c>
      <c r="I106" s="11">
        <v>17.666666666666671</v>
      </c>
      <c r="J106" s="11">
        <v>9.9</v>
      </c>
      <c r="K106" s="11">
        <v>51.033333333333331</v>
      </c>
      <c r="L106" s="11">
        <v>37.133333333333333</v>
      </c>
      <c r="M106" s="11">
        <v>121.65</v>
      </c>
    </row>
    <row r="107" spans="1:13" x14ac:dyDescent="0.25">
      <c r="A107" s="6">
        <v>22</v>
      </c>
      <c r="B107" s="6" t="s">
        <v>173</v>
      </c>
      <c r="C107" s="6" t="s">
        <v>300</v>
      </c>
      <c r="D107" s="6" t="s">
        <v>28</v>
      </c>
      <c r="E107" s="6" t="s">
        <v>29</v>
      </c>
      <c r="F107" s="6" t="s">
        <v>96</v>
      </c>
      <c r="G107" s="10">
        <v>0</v>
      </c>
      <c r="H107" s="10">
        <v>30.466666666666669</v>
      </c>
      <c r="I107" s="10">
        <v>18.984083333333331</v>
      </c>
      <c r="J107" s="10">
        <v>2.2999999999999998</v>
      </c>
      <c r="K107" s="10">
        <v>58.605016666666657</v>
      </c>
      <c r="L107" s="10">
        <v>41.15</v>
      </c>
      <c r="M107" s="10">
        <v>69.61666666666666</v>
      </c>
    </row>
    <row r="108" spans="1:13" x14ac:dyDescent="0.25">
      <c r="A108" s="8">
        <v>22</v>
      </c>
      <c r="B108" s="8" t="s">
        <v>173</v>
      </c>
      <c r="C108" s="8" t="s">
        <v>301</v>
      </c>
      <c r="D108" s="8" t="s">
        <v>28</v>
      </c>
      <c r="E108" s="8" t="s">
        <v>29</v>
      </c>
      <c r="F108" s="8" t="s">
        <v>96</v>
      </c>
      <c r="G108" s="11">
        <v>0</v>
      </c>
      <c r="H108" s="11">
        <v>31.8</v>
      </c>
      <c r="I108" s="11">
        <v>0</v>
      </c>
      <c r="J108" s="11">
        <v>1.5</v>
      </c>
      <c r="K108" s="11">
        <v>30.466666666666669</v>
      </c>
      <c r="L108" s="11">
        <v>23</v>
      </c>
      <c r="M108" s="11">
        <v>134.3833333333333</v>
      </c>
    </row>
    <row r="109" spans="1:13" x14ac:dyDescent="0.25">
      <c r="A109" s="6">
        <v>23</v>
      </c>
      <c r="B109" s="6" t="s">
        <v>176</v>
      </c>
      <c r="C109" s="6" t="s">
        <v>300</v>
      </c>
      <c r="D109" s="6" t="s">
        <v>28</v>
      </c>
      <c r="E109" s="6" t="s">
        <v>29</v>
      </c>
      <c r="F109" s="6" t="s">
        <v>130</v>
      </c>
      <c r="G109" s="10">
        <v>0</v>
      </c>
      <c r="H109" s="10">
        <v>24.65</v>
      </c>
      <c r="I109" s="10">
        <v>10.13448333333333</v>
      </c>
      <c r="J109" s="10">
        <v>2.1</v>
      </c>
      <c r="K109" s="10">
        <v>53.916666666666657</v>
      </c>
      <c r="L109" s="10">
        <v>40.75</v>
      </c>
      <c r="M109" s="10">
        <v>91.5</v>
      </c>
    </row>
    <row r="110" spans="1:13" x14ac:dyDescent="0.25">
      <c r="A110" s="8">
        <v>23</v>
      </c>
      <c r="B110" s="8" t="s">
        <v>176</v>
      </c>
      <c r="C110" s="8" t="s">
        <v>301</v>
      </c>
      <c r="D110" s="8" t="s">
        <v>28</v>
      </c>
      <c r="E110" s="8" t="s">
        <v>29</v>
      </c>
      <c r="F110" s="8" t="s">
        <v>130</v>
      </c>
      <c r="G110" s="11">
        <v>0</v>
      </c>
      <c r="H110" s="11">
        <v>23.716666666666669</v>
      </c>
      <c r="I110" s="11">
        <v>4.4333333333333336</v>
      </c>
      <c r="J110" s="11">
        <v>9.5500000000000007</v>
      </c>
      <c r="K110" s="11">
        <v>50.65</v>
      </c>
      <c r="L110" s="11">
        <v>34.233333333333327</v>
      </c>
      <c r="M110" s="11">
        <v>109.3</v>
      </c>
    </row>
    <row r="111" spans="1:13" x14ac:dyDescent="0.25">
      <c r="A111" s="6">
        <v>24</v>
      </c>
      <c r="B111" s="6" t="s">
        <v>178</v>
      </c>
      <c r="C111" s="6" t="s">
        <v>300</v>
      </c>
      <c r="D111" s="6" t="s">
        <v>28</v>
      </c>
      <c r="E111" s="6" t="s">
        <v>29</v>
      </c>
      <c r="F111" s="6" t="s">
        <v>130</v>
      </c>
      <c r="G111" s="10">
        <v>0</v>
      </c>
      <c r="H111" s="10">
        <v>26.583333333333329</v>
      </c>
      <c r="I111" s="10">
        <v>1.261883333333333</v>
      </c>
      <c r="J111" s="10">
        <v>5.35</v>
      </c>
      <c r="K111" s="10">
        <v>50.083333333333343</v>
      </c>
      <c r="L111" s="10">
        <v>38.023983333333327</v>
      </c>
      <c r="M111" s="10">
        <v>85.833333333333329</v>
      </c>
    </row>
    <row r="112" spans="1:13" x14ac:dyDescent="0.25">
      <c r="A112" s="8">
        <v>24</v>
      </c>
      <c r="B112" s="8" t="s">
        <v>178</v>
      </c>
      <c r="C112" s="8" t="s">
        <v>301</v>
      </c>
      <c r="D112" s="8" t="s">
        <v>28</v>
      </c>
      <c r="E112" s="8" t="s">
        <v>29</v>
      </c>
      <c r="F112" s="8" t="s">
        <v>130</v>
      </c>
      <c r="G112" s="11">
        <v>0</v>
      </c>
      <c r="H112" s="11">
        <v>21.383333333333329</v>
      </c>
      <c r="I112" s="11">
        <v>1</v>
      </c>
      <c r="J112" s="11">
        <v>0</v>
      </c>
      <c r="K112" s="11">
        <v>39.18333333333333</v>
      </c>
      <c r="L112" s="11">
        <v>30.466666666666669</v>
      </c>
      <c r="M112" s="11">
        <v>102.4992666666667</v>
      </c>
    </row>
    <row r="113" spans="1:13" x14ac:dyDescent="0.25">
      <c r="A113" s="6">
        <v>25</v>
      </c>
      <c r="B113" s="6" t="s">
        <v>181</v>
      </c>
      <c r="C113" s="6" t="s">
        <v>300</v>
      </c>
      <c r="D113" s="6" t="s">
        <v>28</v>
      </c>
      <c r="E113" s="6" t="s">
        <v>29</v>
      </c>
      <c r="F113" s="6" t="s">
        <v>130</v>
      </c>
      <c r="G113" s="10">
        <v>0</v>
      </c>
      <c r="H113" s="10">
        <v>23.847033333333339</v>
      </c>
      <c r="I113" s="10">
        <v>3.6833333333333331</v>
      </c>
      <c r="J113" s="10">
        <v>0.25</v>
      </c>
      <c r="K113" s="10">
        <v>50.55</v>
      </c>
      <c r="L113" s="10">
        <v>32.700000000000003</v>
      </c>
      <c r="M113" s="10">
        <v>78.960683333333321</v>
      </c>
    </row>
    <row r="114" spans="1:13" x14ac:dyDescent="0.25">
      <c r="A114" s="8">
        <v>25</v>
      </c>
      <c r="B114" s="8" t="s">
        <v>181</v>
      </c>
      <c r="C114" s="8" t="s">
        <v>301</v>
      </c>
      <c r="D114" s="8" t="s">
        <v>28</v>
      </c>
      <c r="E114" s="8" t="s">
        <v>29</v>
      </c>
      <c r="F114" s="8" t="s">
        <v>130</v>
      </c>
      <c r="G114" s="11">
        <v>0</v>
      </c>
      <c r="H114" s="11">
        <v>23.716666666666669</v>
      </c>
      <c r="I114" s="11">
        <v>4.4333333333333336</v>
      </c>
      <c r="J114" s="11">
        <v>9.5500000000000007</v>
      </c>
      <c r="K114" s="11">
        <v>50.65</v>
      </c>
      <c r="L114" s="11">
        <v>34.233333333333327</v>
      </c>
      <c r="M114" s="11">
        <v>109.3</v>
      </c>
    </row>
    <row r="115" spans="1:13" x14ac:dyDescent="0.25">
      <c r="A115" s="6">
        <v>26</v>
      </c>
      <c r="B115" s="6" t="s">
        <v>183</v>
      </c>
      <c r="C115" s="6" t="s">
        <v>300</v>
      </c>
      <c r="D115" s="6" t="s">
        <v>28</v>
      </c>
      <c r="E115" s="6" t="s">
        <v>29</v>
      </c>
      <c r="F115" s="6" t="s">
        <v>130</v>
      </c>
      <c r="G115" s="10">
        <v>0</v>
      </c>
      <c r="H115" s="10">
        <v>32.85</v>
      </c>
      <c r="I115" s="10">
        <v>9.8868999999999989</v>
      </c>
      <c r="J115" s="10">
        <v>7.9333333333333336</v>
      </c>
      <c r="K115" s="10">
        <v>61.06666666666667</v>
      </c>
      <c r="L115" s="10">
        <v>46.8</v>
      </c>
      <c r="M115" s="10">
        <v>122.55</v>
      </c>
    </row>
    <row r="116" spans="1:13" x14ac:dyDescent="0.25">
      <c r="A116" s="8">
        <v>26</v>
      </c>
      <c r="B116" s="8" t="s">
        <v>183</v>
      </c>
      <c r="C116" s="8" t="s">
        <v>301</v>
      </c>
      <c r="D116" s="8" t="s">
        <v>28</v>
      </c>
      <c r="E116" s="8" t="s">
        <v>29</v>
      </c>
      <c r="F116" s="8" t="s">
        <v>130</v>
      </c>
      <c r="G116" s="11">
        <v>0</v>
      </c>
      <c r="H116" s="11">
        <v>26.333333333333329</v>
      </c>
      <c r="I116" s="11">
        <v>10.016666666666669</v>
      </c>
      <c r="J116" s="11">
        <v>14.483333333333331</v>
      </c>
      <c r="K116" s="11">
        <v>52.6</v>
      </c>
      <c r="L116" s="11">
        <v>42.233333333333327</v>
      </c>
      <c r="M116" s="11">
        <v>146.08333333333329</v>
      </c>
    </row>
    <row r="117" spans="1:13" x14ac:dyDescent="0.25">
      <c r="A117" s="6">
        <v>27</v>
      </c>
      <c r="B117" s="6" t="s">
        <v>186</v>
      </c>
      <c r="C117" s="6" t="s">
        <v>300</v>
      </c>
      <c r="D117" s="6" t="s">
        <v>28</v>
      </c>
      <c r="E117" s="6" t="s">
        <v>29</v>
      </c>
      <c r="F117" s="6" t="s">
        <v>130</v>
      </c>
      <c r="G117" s="10">
        <v>0</v>
      </c>
      <c r="H117" s="10">
        <v>31.033333333333331</v>
      </c>
      <c r="I117" s="10">
        <v>10.96666666666667</v>
      </c>
      <c r="J117" s="10">
        <v>2.9333333333333331</v>
      </c>
      <c r="K117" s="10">
        <v>62.68333333333333</v>
      </c>
      <c r="L117" s="10">
        <v>46.940983333333328</v>
      </c>
      <c r="M117" s="10">
        <v>65.351150000000004</v>
      </c>
    </row>
    <row r="118" spans="1:13" x14ac:dyDescent="0.25">
      <c r="A118" s="8">
        <v>27</v>
      </c>
      <c r="B118" s="8" t="s">
        <v>186</v>
      </c>
      <c r="C118" s="8" t="s">
        <v>301</v>
      </c>
      <c r="D118" s="8" t="s">
        <v>28</v>
      </c>
      <c r="E118" s="8" t="s">
        <v>29</v>
      </c>
      <c r="F118" s="8" t="s">
        <v>130</v>
      </c>
      <c r="G118" s="11">
        <v>0</v>
      </c>
      <c r="H118" s="11">
        <v>23.716666666666669</v>
      </c>
      <c r="I118" s="11">
        <v>4.4333333333333336</v>
      </c>
      <c r="J118" s="11">
        <v>9.5500000000000007</v>
      </c>
      <c r="K118" s="11">
        <v>50.65</v>
      </c>
      <c r="L118" s="11">
        <v>34.233333333333327</v>
      </c>
      <c r="M118" s="11">
        <v>109.3</v>
      </c>
    </row>
    <row r="119" spans="1:13" x14ac:dyDescent="0.25">
      <c r="A119" s="6">
        <v>28</v>
      </c>
      <c r="B119" s="6" t="s">
        <v>188</v>
      </c>
      <c r="C119" s="6" t="s">
        <v>300</v>
      </c>
      <c r="D119" s="6" t="s">
        <v>28</v>
      </c>
      <c r="E119" s="6" t="s">
        <v>29</v>
      </c>
      <c r="F119" s="6" t="s">
        <v>96</v>
      </c>
      <c r="G119" s="10">
        <v>0</v>
      </c>
      <c r="H119" s="10">
        <v>8.9333333333333336</v>
      </c>
      <c r="I119" s="10">
        <v>5.4188666666666672</v>
      </c>
      <c r="J119" s="10">
        <v>0</v>
      </c>
      <c r="K119" s="10">
        <v>46.883333333333333</v>
      </c>
      <c r="L119" s="10">
        <v>35.666666666666657</v>
      </c>
      <c r="M119" s="10">
        <v>98.5</v>
      </c>
    </row>
    <row r="120" spans="1:13" x14ac:dyDescent="0.25">
      <c r="A120" s="8">
        <v>28</v>
      </c>
      <c r="B120" s="8" t="s">
        <v>188</v>
      </c>
      <c r="C120" s="8" t="s">
        <v>301</v>
      </c>
      <c r="D120" s="8" t="s">
        <v>28</v>
      </c>
      <c r="E120" s="8" t="s">
        <v>29</v>
      </c>
      <c r="F120" s="8" t="s">
        <v>96</v>
      </c>
      <c r="G120" s="11">
        <v>0</v>
      </c>
      <c r="H120" s="11">
        <v>71.083333333333329</v>
      </c>
      <c r="I120" s="11">
        <v>4.05</v>
      </c>
      <c r="J120" s="11">
        <v>9.2465500000000009</v>
      </c>
      <c r="K120" s="11">
        <v>38.68333333333333</v>
      </c>
      <c r="L120" s="11">
        <v>26.81666666666667</v>
      </c>
      <c r="M120" s="11">
        <v>116.98333333333331</v>
      </c>
    </row>
    <row r="121" spans="1:13" x14ac:dyDescent="0.25">
      <c r="A121" s="6">
        <v>29</v>
      </c>
      <c r="B121" s="6" t="s">
        <v>192</v>
      </c>
      <c r="C121" s="6" t="s">
        <v>300</v>
      </c>
      <c r="D121" s="6" t="s">
        <v>28</v>
      </c>
      <c r="E121" s="6" t="s">
        <v>29</v>
      </c>
      <c r="F121" s="6" t="s">
        <v>96</v>
      </c>
      <c r="G121" s="10">
        <v>0</v>
      </c>
      <c r="H121" s="10">
        <v>12.03333333333333</v>
      </c>
      <c r="I121" s="10">
        <v>4.916666666666667</v>
      </c>
      <c r="J121" s="10">
        <v>0</v>
      </c>
      <c r="K121" s="10">
        <v>47.070950000000003</v>
      </c>
      <c r="L121" s="10">
        <v>35.883333333333333</v>
      </c>
      <c r="M121" s="10">
        <v>102.55</v>
      </c>
    </row>
    <row r="122" spans="1:13" x14ac:dyDescent="0.25">
      <c r="A122" s="8">
        <v>29</v>
      </c>
      <c r="B122" s="8" t="s">
        <v>192</v>
      </c>
      <c r="C122" s="8" t="s">
        <v>301</v>
      </c>
      <c r="D122" s="8" t="s">
        <v>28</v>
      </c>
      <c r="E122" s="8" t="s">
        <v>29</v>
      </c>
      <c r="F122" s="8" t="s">
        <v>96</v>
      </c>
      <c r="G122" s="11">
        <v>0</v>
      </c>
      <c r="H122" s="11">
        <v>48.18333333333333</v>
      </c>
      <c r="I122" s="11">
        <v>13.66666666666667</v>
      </c>
      <c r="J122" s="11">
        <v>8.5500000000000007</v>
      </c>
      <c r="K122" s="11">
        <v>47.504249999999999</v>
      </c>
      <c r="L122" s="11">
        <v>34.783333333333331</v>
      </c>
      <c r="M122" s="11">
        <v>114.05</v>
      </c>
    </row>
    <row r="123" spans="1:13" x14ac:dyDescent="0.25">
      <c r="A123" s="6">
        <v>30</v>
      </c>
      <c r="B123" s="6" t="s">
        <v>194</v>
      </c>
      <c r="C123" s="6" t="s">
        <v>300</v>
      </c>
      <c r="D123" s="6" t="s">
        <v>28</v>
      </c>
      <c r="E123" s="6" t="s">
        <v>29</v>
      </c>
      <c r="F123" s="6" t="s">
        <v>96</v>
      </c>
      <c r="G123" s="10">
        <v>0</v>
      </c>
      <c r="H123" s="10">
        <v>45.166666666666657</v>
      </c>
      <c r="I123" s="10">
        <v>26.670683333333329</v>
      </c>
      <c r="J123" s="10">
        <v>2.8833333333333329</v>
      </c>
      <c r="K123" s="10">
        <v>61.423199999999987</v>
      </c>
      <c r="L123" s="10">
        <v>44.016666666666673</v>
      </c>
      <c r="M123" s="10">
        <v>75.583333333333329</v>
      </c>
    </row>
    <row r="124" spans="1:13" x14ac:dyDescent="0.25">
      <c r="A124" s="8">
        <v>30</v>
      </c>
      <c r="B124" s="8" t="s">
        <v>194</v>
      </c>
      <c r="C124" s="8" t="s">
        <v>301</v>
      </c>
      <c r="D124" s="8" t="s">
        <v>28</v>
      </c>
      <c r="E124" s="8" t="s">
        <v>29</v>
      </c>
      <c r="F124" s="8" t="s">
        <v>96</v>
      </c>
      <c r="G124" s="11">
        <v>0</v>
      </c>
      <c r="H124" s="11">
        <v>71.083333333333329</v>
      </c>
      <c r="I124" s="11">
        <v>4.05</v>
      </c>
      <c r="J124" s="11">
        <v>7.6833333333333336</v>
      </c>
      <c r="K124" s="11">
        <v>38.68333333333333</v>
      </c>
      <c r="L124" s="11">
        <v>26.81666666666667</v>
      </c>
      <c r="M124" s="11">
        <v>117.31331666666669</v>
      </c>
    </row>
    <row r="125" spans="1:13" x14ac:dyDescent="0.25">
      <c r="A125" s="6">
        <v>31</v>
      </c>
      <c r="B125" s="6" t="s">
        <v>198</v>
      </c>
      <c r="C125" s="6" t="s">
        <v>300</v>
      </c>
      <c r="D125" s="6" t="s">
        <v>28</v>
      </c>
      <c r="E125" s="6" t="s">
        <v>29</v>
      </c>
      <c r="F125" s="6" t="s">
        <v>130</v>
      </c>
      <c r="G125" s="10">
        <v>0</v>
      </c>
      <c r="H125" s="10">
        <v>29.483333333333331</v>
      </c>
      <c r="I125" s="10">
        <v>0.1105833333333333</v>
      </c>
      <c r="J125" s="10">
        <v>5.2666666666666666</v>
      </c>
      <c r="K125" s="10">
        <v>45.483333333333327</v>
      </c>
      <c r="L125" s="10">
        <v>28.733333333333331</v>
      </c>
      <c r="M125" s="10">
        <v>78.575700000000012</v>
      </c>
    </row>
    <row r="126" spans="1:13" x14ac:dyDescent="0.25">
      <c r="A126" s="8">
        <v>31</v>
      </c>
      <c r="B126" s="8" t="s">
        <v>198</v>
      </c>
      <c r="C126" s="8" t="s">
        <v>301</v>
      </c>
      <c r="D126" s="8" t="s">
        <v>28</v>
      </c>
      <c r="E126" s="8" t="s">
        <v>29</v>
      </c>
      <c r="F126" s="8" t="s">
        <v>130</v>
      </c>
      <c r="G126" s="11">
        <v>0</v>
      </c>
      <c r="H126" s="11">
        <v>21.383333333333329</v>
      </c>
      <c r="I126" s="11">
        <v>1</v>
      </c>
      <c r="J126" s="11">
        <v>0</v>
      </c>
      <c r="K126" s="11">
        <v>39.18333333333333</v>
      </c>
      <c r="L126" s="11">
        <v>30.466666666666669</v>
      </c>
      <c r="M126" s="11">
        <v>102.92506666666669</v>
      </c>
    </row>
    <row r="127" spans="1:13" x14ac:dyDescent="0.25">
      <c r="A127" s="6">
        <v>32</v>
      </c>
      <c r="B127" s="6" t="s">
        <v>201</v>
      </c>
      <c r="C127" s="6" t="s">
        <v>300</v>
      </c>
      <c r="D127" s="6" t="s">
        <v>28</v>
      </c>
      <c r="E127" s="6" t="s">
        <v>35</v>
      </c>
      <c r="F127" s="6" t="s">
        <v>76</v>
      </c>
      <c r="G127" s="10">
        <v>23.4</v>
      </c>
      <c r="H127" s="10">
        <v>37.616666666666667</v>
      </c>
      <c r="I127" s="10">
        <v>0</v>
      </c>
      <c r="J127" s="10">
        <v>0.58333333333333337</v>
      </c>
      <c r="K127" s="10">
        <v>58.389133333333326</v>
      </c>
      <c r="L127" s="10">
        <v>47.783333333333331</v>
      </c>
      <c r="M127" s="10">
        <v>188.35</v>
      </c>
    </row>
    <row r="128" spans="1:13" x14ac:dyDescent="0.25">
      <c r="A128" s="8">
        <v>32</v>
      </c>
      <c r="B128" s="8" t="s">
        <v>201</v>
      </c>
      <c r="C128" s="8" t="s">
        <v>301</v>
      </c>
      <c r="D128" s="8" t="s">
        <v>28</v>
      </c>
      <c r="E128" s="8" t="s">
        <v>35</v>
      </c>
      <c r="F128" s="8" t="s">
        <v>76</v>
      </c>
      <c r="G128" s="11">
        <v>0</v>
      </c>
      <c r="H128" s="11">
        <v>18.100000000000001</v>
      </c>
      <c r="I128" s="11">
        <v>6.6666666666666666E-2</v>
      </c>
      <c r="J128" s="11">
        <v>1.75</v>
      </c>
      <c r="K128" s="11">
        <v>61.95</v>
      </c>
      <c r="L128" s="11">
        <v>44.95</v>
      </c>
      <c r="M128" s="11">
        <v>206.6166666666667</v>
      </c>
    </row>
    <row r="129" spans="1:13" x14ac:dyDescent="0.25">
      <c r="A129" s="6">
        <v>33</v>
      </c>
      <c r="B129" s="6" t="s">
        <v>205</v>
      </c>
      <c r="C129" s="6" t="s">
        <v>300</v>
      </c>
      <c r="D129" s="6" t="s">
        <v>28</v>
      </c>
      <c r="E129" s="6" t="s">
        <v>35</v>
      </c>
      <c r="F129" s="6" t="s">
        <v>76</v>
      </c>
      <c r="G129" s="10">
        <v>23.4</v>
      </c>
      <c r="H129" s="10">
        <v>37.616666666666667</v>
      </c>
      <c r="I129" s="10">
        <v>0</v>
      </c>
      <c r="J129" s="10">
        <v>0.58333333333333337</v>
      </c>
      <c r="K129" s="10">
        <v>56.670316666666658</v>
      </c>
      <c r="L129" s="10">
        <v>46.800916666666673</v>
      </c>
      <c r="M129" s="10">
        <v>184.98333333333329</v>
      </c>
    </row>
    <row r="130" spans="1:13" x14ac:dyDescent="0.25">
      <c r="A130" s="8">
        <v>33</v>
      </c>
      <c r="B130" s="8" t="s">
        <v>205</v>
      </c>
      <c r="C130" s="8" t="s">
        <v>301</v>
      </c>
      <c r="D130" s="8" t="s">
        <v>28</v>
      </c>
      <c r="E130" s="8" t="s">
        <v>35</v>
      </c>
      <c r="F130" s="8" t="s">
        <v>76</v>
      </c>
      <c r="G130" s="11">
        <v>0</v>
      </c>
      <c r="H130" s="11">
        <v>16.43333333333333</v>
      </c>
      <c r="I130" s="11">
        <v>8.7333333333333325</v>
      </c>
      <c r="J130" s="11">
        <v>5.083333333333333</v>
      </c>
      <c r="K130" s="11">
        <v>63.81666666666667</v>
      </c>
      <c r="L130" s="11">
        <v>46.866666666666667</v>
      </c>
      <c r="M130" s="11">
        <v>176.3828666666667</v>
      </c>
    </row>
    <row r="131" spans="1:13" x14ac:dyDescent="0.25">
      <c r="A131" s="6">
        <v>34</v>
      </c>
      <c r="B131" s="6" t="s">
        <v>210</v>
      </c>
      <c r="C131" s="6" t="s">
        <v>300</v>
      </c>
      <c r="D131" s="6" t="s">
        <v>28</v>
      </c>
      <c r="E131" s="6" t="s">
        <v>29</v>
      </c>
      <c r="F131" s="6" t="s">
        <v>130</v>
      </c>
      <c r="G131" s="10">
        <v>0</v>
      </c>
      <c r="H131" s="10">
        <v>34.497033333333327</v>
      </c>
      <c r="I131" s="10">
        <v>3.6833333333333331</v>
      </c>
      <c r="J131" s="10">
        <v>7.35</v>
      </c>
      <c r="K131" s="10">
        <v>57.55</v>
      </c>
      <c r="L131" s="10">
        <v>37.366666666666667</v>
      </c>
      <c r="M131" s="10">
        <v>112.4</v>
      </c>
    </row>
    <row r="132" spans="1:13" x14ac:dyDescent="0.25">
      <c r="A132" s="8">
        <v>34</v>
      </c>
      <c r="B132" s="8" t="s">
        <v>210</v>
      </c>
      <c r="C132" s="8" t="s">
        <v>301</v>
      </c>
      <c r="D132" s="8" t="s">
        <v>28</v>
      </c>
      <c r="E132" s="8" t="s">
        <v>29</v>
      </c>
      <c r="F132" s="8" t="s">
        <v>130</v>
      </c>
      <c r="G132" s="11">
        <v>0</v>
      </c>
      <c r="H132" s="11">
        <v>26.333333333333329</v>
      </c>
      <c r="I132" s="11">
        <v>10.016666666666669</v>
      </c>
      <c r="J132" s="11">
        <v>14.483333333333331</v>
      </c>
      <c r="K132" s="11">
        <v>52.6</v>
      </c>
      <c r="L132" s="11">
        <v>42.233333333333327</v>
      </c>
      <c r="M132" s="11">
        <v>146.08333333333329</v>
      </c>
    </row>
    <row r="133" spans="1:13" x14ac:dyDescent="0.25">
      <c r="A133" s="6">
        <v>35</v>
      </c>
      <c r="B133" s="6" t="s">
        <v>212</v>
      </c>
      <c r="C133" s="6" t="s">
        <v>300</v>
      </c>
      <c r="D133" s="6" t="s">
        <v>28</v>
      </c>
      <c r="E133" s="6" t="s">
        <v>29</v>
      </c>
      <c r="F133" s="6" t="s">
        <v>130</v>
      </c>
      <c r="G133" s="10">
        <v>0</v>
      </c>
      <c r="H133" s="10">
        <v>20.65</v>
      </c>
      <c r="I133" s="10">
        <v>8.668333333333333</v>
      </c>
      <c r="J133" s="10">
        <v>2.9833333333333329</v>
      </c>
      <c r="K133" s="10">
        <v>56.783333333333331</v>
      </c>
      <c r="L133" s="10">
        <v>43.369783333333331</v>
      </c>
      <c r="M133" s="10">
        <v>62.483333333333327</v>
      </c>
    </row>
    <row r="134" spans="1:13" x14ac:dyDescent="0.25">
      <c r="A134" s="8">
        <v>35</v>
      </c>
      <c r="B134" s="8" t="s">
        <v>212</v>
      </c>
      <c r="C134" s="8" t="s">
        <v>301</v>
      </c>
      <c r="D134" s="8" t="s">
        <v>28</v>
      </c>
      <c r="E134" s="8" t="s">
        <v>29</v>
      </c>
      <c r="F134" s="8" t="s">
        <v>130</v>
      </c>
      <c r="G134" s="11">
        <v>0</v>
      </c>
      <c r="H134" s="11">
        <v>21.383333333333329</v>
      </c>
      <c r="I134" s="11">
        <v>1</v>
      </c>
      <c r="J134" s="11">
        <v>0</v>
      </c>
      <c r="K134" s="11">
        <v>39.18333333333333</v>
      </c>
      <c r="L134" s="11">
        <v>30.466666666666669</v>
      </c>
      <c r="M134" s="11">
        <v>102.92506666666669</v>
      </c>
    </row>
    <row r="135" spans="1:13" x14ac:dyDescent="0.25">
      <c r="A135" s="6">
        <v>36</v>
      </c>
      <c r="B135" s="6" t="s">
        <v>214</v>
      </c>
      <c r="C135" s="6" t="s">
        <v>300</v>
      </c>
      <c r="D135" s="6" t="s">
        <v>28</v>
      </c>
      <c r="E135" s="6" t="s">
        <v>35</v>
      </c>
      <c r="F135" s="6" t="s">
        <v>88</v>
      </c>
      <c r="G135" s="10">
        <v>40.299999999999997</v>
      </c>
      <c r="H135" s="10">
        <v>46.846666666666671</v>
      </c>
      <c r="I135" s="10">
        <v>23.25</v>
      </c>
      <c r="J135" s="10">
        <v>14.68333333333333</v>
      </c>
      <c r="K135" s="10">
        <v>52.483333333333327</v>
      </c>
      <c r="L135" s="10">
        <v>45.116666666666667</v>
      </c>
      <c r="M135" s="10">
        <v>254.94114999999999</v>
      </c>
    </row>
    <row r="136" spans="1:13" x14ac:dyDescent="0.25">
      <c r="A136" s="8">
        <v>36</v>
      </c>
      <c r="B136" s="8" t="s">
        <v>214</v>
      </c>
      <c r="C136" s="8" t="s">
        <v>301</v>
      </c>
      <c r="D136" s="8" t="s">
        <v>28</v>
      </c>
      <c r="E136" s="8" t="s">
        <v>35</v>
      </c>
      <c r="F136" s="8" t="s">
        <v>88</v>
      </c>
      <c r="G136" s="11">
        <v>0</v>
      </c>
      <c r="H136" s="11">
        <v>35.983333333333327</v>
      </c>
      <c r="I136" s="11">
        <v>0.35</v>
      </c>
      <c r="J136" s="11">
        <v>4.166666666666667</v>
      </c>
      <c r="K136" s="11">
        <v>65.36666666666666</v>
      </c>
      <c r="L136" s="11">
        <v>52.466666666666669</v>
      </c>
      <c r="M136" s="11">
        <v>209.75</v>
      </c>
    </row>
    <row r="137" spans="1:13" x14ac:dyDescent="0.25">
      <c r="A137" s="6">
        <v>37</v>
      </c>
      <c r="B137" s="6" t="s">
        <v>218</v>
      </c>
      <c r="C137" s="6" t="s">
        <v>300</v>
      </c>
      <c r="D137" s="6" t="s">
        <v>28</v>
      </c>
      <c r="E137" s="6" t="s">
        <v>35</v>
      </c>
      <c r="F137" s="6" t="s">
        <v>76</v>
      </c>
      <c r="G137" s="10">
        <v>20.983333333333331</v>
      </c>
      <c r="H137" s="10">
        <v>3.666666666666667</v>
      </c>
      <c r="I137" s="10">
        <v>3.0333333333333332</v>
      </c>
      <c r="J137" s="10">
        <v>7.2833333333333332</v>
      </c>
      <c r="K137" s="10">
        <v>33.003716666666669</v>
      </c>
      <c r="L137" s="10">
        <v>29.65</v>
      </c>
      <c r="M137" s="10">
        <v>163.76666666666671</v>
      </c>
    </row>
    <row r="138" spans="1:13" x14ac:dyDescent="0.25">
      <c r="A138" s="8">
        <v>37</v>
      </c>
      <c r="B138" s="8" t="s">
        <v>218</v>
      </c>
      <c r="C138" s="8" t="s">
        <v>301</v>
      </c>
      <c r="D138" s="8" t="s">
        <v>28</v>
      </c>
      <c r="E138" s="8" t="s">
        <v>35</v>
      </c>
      <c r="F138" s="8" t="s">
        <v>76</v>
      </c>
      <c r="G138" s="11">
        <v>0</v>
      </c>
      <c r="H138" s="11">
        <v>16.43333333333333</v>
      </c>
      <c r="I138" s="11">
        <v>6.3166666666666664</v>
      </c>
      <c r="J138" s="11">
        <v>5</v>
      </c>
      <c r="K138" s="11">
        <v>46.8</v>
      </c>
      <c r="L138" s="11">
        <v>33.416666666666657</v>
      </c>
      <c r="M138" s="11">
        <v>136.9743</v>
      </c>
    </row>
    <row r="139" spans="1:13" x14ac:dyDescent="0.25">
      <c r="A139" s="6">
        <v>38</v>
      </c>
      <c r="B139" s="6" t="s">
        <v>223</v>
      </c>
      <c r="C139" s="6" t="s">
        <v>300</v>
      </c>
      <c r="D139" s="6" t="s">
        <v>28</v>
      </c>
      <c r="E139" s="6" t="s">
        <v>31</v>
      </c>
      <c r="F139" s="6" t="s">
        <v>31</v>
      </c>
      <c r="G139" s="10">
        <v>50.366666666666667</v>
      </c>
      <c r="H139" s="10">
        <v>8.3666666666666671</v>
      </c>
      <c r="I139" s="10">
        <v>17.350000000000001</v>
      </c>
      <c r="J139" s="10">
        <v>4.75</v>
      </c>
      <c r="K139" s="10">
        <v>75.683333333333337</v>
      </c>
      <c r="L139" s="10">
        <v>57.18333333333333</v>
      </c>
      <c r="M139" s="10">
        <v>181.3</v>
      </c>
    </row>
    <row r="140" spans="1:13" x14ac:dyDescent="0.25">
      <c r="A140" s="8">
        <v>38</v>
      </c>
      <c r="B140" s="8" t="s">
        <v>223</v>
      </c>
      <c r="C140" s="8" t="s">
        <v>301</v>
      </c>
      <c r="D140" s="8" t="s">
        <v>28</v>
      </c>
      <c r="E140" s="8" t="s">
        <v>31</v>
      </c>
      <c r="F140" s="8" t="s">
        <v>31</v>
      </c>
      <c r="G140" s="11">
        <v>0</v>
      </c>
      <c r="H140" s="11">
        <v>42.65</v>
      </c>
      <c r="I140" s="11">
        <v>4.45</v>
      </c>
      <c r="J140" s="11">
        <v>12.016666666666669</v>
      </c>
      <c r="K140" s="11">
        <v>57.411516666666657</v>
      </c>
      <c r="L140" s="11">
        <v>49.6</v>
      </c>
      <c r="M140" s="11">
        <v>208.83333333333329</v>
      </c>
    </row>
    <row r="141" spans="1:13" x14ac:dyDescent="0.25">
      <c r="A141" s="6">
        <v>39</v>
      </c>
      <c r="B141" s="6" t="s">
        <v>229</v>
      </c>
      <c r="C141" s="6" t="s">
        <v>300</v>
      </c>
      <c r="D141" s="6" t="s">
        <v>28</v>
      </c>
      <c r="E141" s="6" t="s">
        <v>31</v>
      </c>
      <c r="F141" s="6" t="s">
        <v>31</v>
      </c>
      <c r="G141" s="10">
        <v>50.366666666666667</v>
      </c>
      <c r="H141" s="10">
        <v>8.3666666666666671</v>
      </c>
      <c r="I141" s="10">
        <v>17.350000000000001</v>
      </c>
      <c r="J141" s="10">
        <v>4.583333333333333</v>
      </c>
      <c r="K141" s="10">
        <v>74.783333333333331</v>
      </c>
      <c r="L141" s="10">
        <v>56.437600000000003</v>
      </c>
      <c r="M141" s="10">
        <v>180.48333333333329</v>
      </c>
    </row>
    <row r="142" spans="1:13" x14ac:dyDescent="0.25">
      <c r="A142" s="8">
        <v>39</v>
      </c>
      <c r="B142" s="8" t="s">
        <v>229</v>
      </c>
      <c r="C142" s="8" t="s">
        <v>301</v>
      </c>
      <c r="D142" s="8" t="s">
        <v>28</v>
      </c>
      <c r="E142" s="8" t="s">
        <v>31</v>
      </c>
      <c r="F142" s="8" t="s">
        <v>31</v>
      </c>
      <c r="G142" s="11">
        <v>0</v>
      </c>
      <c r="H142" s="11">
        <v>62.766666666666673</v>
      </c>
      <c r="I142" s="11">
        <v>7.8833333333333337</v>
      </c>
      <c r="J142" s="11">
        <v>2.9833333333333329</v>
      </c>
      <c r="K142" s="11">
        <v>67.358066666666659</v>
      </c>
      <c r="L142" s="11">
        <v>47.916666666666657</v>
      </c>
      <c r="M142" s="11">
        <v>222.97454999999999</v>
      </c>
    </row>
    <row r="143" spans="1:13" x14ac:dyDescent="0.25">
      <c r="A143" s="6">
        <v>40</v>
      </c>
      <c r="B143" s="6" t="s">
        <v>234</v>
      </c>
      <c r="C143" s="6" t="s">
        <v>300</v>
      </c>
      <c r="D143" s="6" t="s">
        <v>28</v>
      </c>
      <c r="E143" s="6" t="s">
        <v>31</v>
      </c>
      <c r="F143" s="6" t="s">
        <v>31</v>
      </c>
      <c r="G143" s="10">
        <v>50.366666666666667</v>
      </c>
      <c r="H143" s="10">
        <v>8.3666666666666671</v>
      </c>
      <c r="I143" s="10">
        <v>17.350000000000001</v>
      </c>
      <c r="J143" s="10">
        <v>4.75</v>
      </c>
      <c r="K143" s="10">
        <v>75.683333333333337</v>
      </c>
      <c r="L143" s="10">
        <v>57.18333333333333</v>
      </c>
      <c r="M143" s="10">
        <v>181.3</v>
      </c>
    </row>
    <row r="144" spans="1:13" x14ac:dyDescent="0.25">
      <c r="A144" s="8">
        <v>40</v>
      </c>
      <c r="B144" s="8" t="s">
        <v>234</v>
      </c>
      <c r="C144" s="8" t="s">
        <v>301</v>
      </c>
      <c r="D144" s="8" t="s">
        <v>28</v>
      </c>
      <c r="E144" s="8" t="s">
        <v>31</v>
      </c>
      <c r="F144" s="8" t="s">
        <v>31</v>
      </c>
      <c r="G144" s="11">
        <v>0</v>
      </c>
      <c r="H144" s="11">
        <v>3.0166666666666671</v>
      </c>
      <c r="I144" s="11">
        <v>4.3</v>
      </c>
      <c r="J144" s="11">
        <v>1.8833333333333331</v>
      </c>
      <c r="K144" s="11">
        <v>49.166666666666657</v>
      </c>
      <c r="L144" s="11">
        <v>35.333333333333343</v>
      </c>
      <c r="M144" s="11">
        <v>225.80481666666671</v>
      </c>
    </row>
    <row r="145" spans="1:13" x14ac:dyDescent="0.25">
      <c r="A145" s="6">
        <v>41</v>
      </c>
      <c r="B145" s="6" t="s">
        <v>238</v>
      </c>
      <c r="C145" s="6" t="s">
        <v>300</v>
      </c>
      <c r="D145" s="6" t="s">
        <v>28</v>
      </c>
      <c r="E145" s="6" t="s">
        <v>31</v>
      </c>
      <c r="F145" s="6" t="s">
        <v>31</v>
      </c>
      <c r="G145" s="10">
        <v>44.68333333333333</v>
      </c>
      <c r="H145" s="10">
        <v>6.6833333333333336</v>
      </c>
      <c r="I145" s="10">
        <v>11.75</v>
      </c>
      <c r="J145" s="10">
        <v>2.0166666666666671</v>
      </c>
      <c r="K145" s="10">
        <v>64.3</v>
      </c>
      <c r="L145" s="10">
        <v>51.866666666666667</v>
      </c>
      <c r="M145" s="10">
        <v>172.54785000000001</v>
      </c>
    </row>
    <row r="146" spans="1:13" x14ac:dyDescent="0.25">
      <c r="A146" s="8">
        <v>41</v>
      </c>
      <c r="B146" s="8" t="s">
        <v>238</v>
      </c>
      <c r="C146" s="8" t="s">
        <v>301</v>
      </c>
      <c r="D146" s="8" t="s">
        <v>28</v>
      </c>
      <c r="E146" s="8" t="s">
        <v>31</v>
      </c>
      <c r="F146" s="8" t="s">
        <v>31</v>
      </c>
      <c r="G146" s="11">
        <v>0</v>
      </c>
      <c r="H146" s="11">
        <v>42.65</v>
      </c>
      <c r="I146" s="11">
        <v>4.45</v>
      </c>
      <c r="J146" s="11">
        <v>12.016666666666669</v>
      </c>
      <c r="K146" s="11">
        <v>56.916666666666657</v>
      </c>
      <c r="L146" s="11">
        <v>49.017066666666658</v>
      </c>
      <c r="M146" s="11">
        <v>207.5</v>
      </c>
    </row>
    <row r="147" spans="1:13" x14ac:dyDescent="0.25">
      <c r="A147" s="6">
        <v>42</v>
      </c>
      <c r="B147" s="6" t="s">
        <v>242</v>
      </c>
      <c r="C147" s="6" t="s">
        <v>300</v>
      </c>
      <c r="D147" s="6" t="s">
        <v>28</v>
      </c>
      <c r="E147" s="6" t="s">
        <v>33</v>
      </c>
      <c r="F147" s="6" t="s">
        <v>33</v>
      </c>
      <c r="G147" s="10">
        <v>63.2</v>
      </c>
      <c r="H147" s="10">
        <v>14.516666666666669</v>
      </c>
      <c r="I147" s="10">
        <v>29.516666666666669</v>
      </c>
      <c r="J147" s="10">
        <v>6.8833333333333337</v>
      </c>
      <c r="K147" s="10">
        <v>69.25</v>
      </c>
      <c r="L147" s="10">
        <v>57.887300000000003</v>
      </c>
      <c r="M147" s="10">
        <v>164.51666666666671</v>
      </c>
    </row>
    <row r="148" spans="1:13" x14ac:dyDescent="0.25">
      <c r="A148" s="8">
        <v>42</v>
      </c>
      <c r="B148" s="8" t="s">
        <v>242</v>
      </c>
      <c r="C148" s="8" t="s">
        <v>301</v>
      </c>
      <c r="D148" s="8" t="s">
        <v>28</v>
      </c>
      <c r="E148" s="8" t="s">
        <v>33</v>
      </c>
      <c r="F148" s="8" t="s">
        <v>33</v>
      </c>
      <c r="G148" s="11">
        <v>0</v>
      </c>
      <c r="H148" s="11">
        <v>20.583333333333329</v>
      </c>
      <c r="I148" s="11">
        <v>2.833333333333333</v>
      </c>
      <c r="J148" s="11">
        <v>4</v>
      </c>
      <c r="K148" s="11">
        <v>45.56666666666667</v>
      </c>
      <c r="L148" s="11">
        <v>33.783333333333331</v>
      </c>
      <c r="M148" s="11">
        <v>218.63815</v>
      </c>
    </row>
    <row r="149" spans="1:13" x14ac:dyDescent="0.25">
      <c r="A149" s="6">
        <v>43</v>
      </c>
      <c r="B149" s="6" t="s">
        <v>248</v>
      </c>
      <c r="C149" s="6" t="s">
        <v>300</v>
      </c>
      <c r="D149" s="6" t="s">
        <v>28</v>
      </c>
      <c r="E149" s="6" t="s">
        <v>33</v>
      </c>
      <c r="F149" s="6" t="s">
        <v>33</v>
      </c>
      <c r="G149" s="10">
        <v>63.2</v>
      </c>
      <c r="H149" s="10">
        <v>51.31666666666667</v>
      </c>
      <c r="I149" s="10">
        <v>32.283333333333331</v>
      </c>
      <c r="J149" s="10">
        <v>7.7166666666666668</v>
      </c>
      <c r="K149" s="10">
        <v>69.400000000000006</v>
      </c>
      <c r="L149" s="10">
        <v>57.93333333333333</v>
      </c>
      <c r="M149" s="10">
        <v>164.6</v>
      </c>
    </row>
    <row r="150" spans="1:13" x14ac:dyDescent="0.25">
      <c r="A150" s="8">
        <v>43</v>
      </c>
      <c r="B150" s="8" t="s">
        <v>248</v>
      </c>
      <c r="C150" s="8" t="s">
        <v>301</v>
      </c>
      <c r="D150" s="8" t="s">
        <v>28</v>
      </c>
      <c r="E150" s="8" t="s">
        <v>33</v>
      </c>
      <c r="F150" s="8" t="s">
        <v>33</v>
      </c>
      <c r="G150" s="11">
        <v>0</v>
      </c>
      <c r="H150" s="11">
        <v>35.4</v>
      </c>
      <c r="I150" s="11">
        <v>6.3166666666666664</v>
      </c>
      <c r="J150" s="11">
        <v>10.016666666666669</v>
      </c>
      <c r="K150" s="11">
        <v>63.383333333333333</v>
      </c>
      <c r="L150" s="11">
        <v>44.56666666666667</v>
      </c>
      <c r="M150" s="11">
        <v>181.75905</v>
      </c>
    </row>
    <row r="151" spans="1:13" x14ac:dyDescent="0.25">
      <c r="A151" s="6">
        <v>44</v>
      </c>
      <c r="B151" s="6" t="s">
        <v>254</v>
      </c>
      <c r="C151" s="6" t="s">
        <v>300</v>
      </c>
      <c r="D151" s="6" t="s">
        <v>28</v>
      </c>
      <c r="E151" s="6" t="s">
        <v>33</v>
      </c>
      <c r="F151" s="6" t="s">
        <v>33</v>
      </c>
      <c r="G151" s="10">
        <v>0</v>
      </c>
      <c r="H151" s="10">
        <v>65.983333333333334</v>
      </c>
      <c r="I151" s="10">
        <v>30.533333333333331</v>
      </c>
      <c r="J151" s="10">
        <v>6.3</v>
      </c>
      <c r="K151" s="10">
        <v>75.783333333333331</v>
      </c>
      <c r="L151" s="10">
        <v>59.6</v>
      </c>
      <c r="M151" s="10">
        <v>170.42676666666671</v>
      </c>
    </row>
    <row r="152" spans="1:13" x14ac:dyDescent="0.25">
      <c r="A152" s="8">
        <v>44</v>
      </c>
      <c r="B152" s="8" t="s">
        <v>254</v>
      </c>
      <c r="C152" s="8" t="s">
        <v>301</v>
      </c>
      <c r="D152" s="8" t="s">
        <v>28</v>
      </c>
      <c r="E152" s="8" t="s">
        <v>33</v>
      </c>
      <c r="F152" s="8" t="s">
        <v>33</v>
      </c>
      <c r="G152" s="11">
        <v>0</v>
      </c>
      <c r="H152" s="11">
        <v>16.899999999999999</v>
      </c>
      <c r="I152" s="11">
        <v>2.833333333333333</v>
      </c>
      <c r="J152" s="11">
        <v>4</v>
      </c>
      <c r="K152" s="11">
        <v>46.733333333333327</v>
      </c>
      <c r="L152" s="11">
        <v>34.783333333333331</v>
      </c>
      <c r="M152" s="11">
        <v>220.0155</v>
      </c>
    </row>
    <row r="153" spans="1:13" x14ac:dyDescent="0.25">
      <c r="A153" s="6">
        <v>45</v>
      </c>
      <c r="B153" s="6" t="s">
        <v>259</v>
      </c>
      <c r="C153" s="6" t="s">
        <v>300</v>
      </c>
      <c r="D153" s="6" t="s">
        <v>28</v>
      </c>
      <c r="E153" s="6" t="s">
        <v>33</v>
      </c>
      <c r="F153" s="6" t="s">
        <v>33</v>
      </c>
      <c r="G153" s="10">
        <v>63.2</v>
      </c>
      <c r="H153" s="10">
        <v>51.31666666666667</v>
      </c>
      <c r="I153" s="10">
        <v>32.283333333333331</v>
      </c>
      <c r="J153" s="10">
        <v>7.7166666666666668</v>
      </c>
      <c r="K153" s="10">
        <v>69.400000000000006</v>
      </c>
      <c r="L153" s="10">
        <v>57.93333333333333</v>
      </c>
      <c r="M153" s="10">
        <v>164.6</v>
      </c>
    </row>
    <row r="154" spans="1:13" x14ac:dyDescent="0.25">
      <c r="A154" s="8">
        <v>45</v>
      </c>
      <c r="B154" s="8" t="s">
        <v>259</v>
      </c>
      <c r="C154" s="8" t="s">
        <v>301</v>
      </c>
      <c r="D154" s="8" t="s">
        <v>28</v>
      </c>
      <c r="E154" s="8" t="s">
        <v>33</v>
      </c>
      <c r="F154" s="8" t="s">
        <v>33</v>
      </c>
      <c r="G154" s="11">
        <v>0</v>
      </c>
      <c r="H154" s="11">
        <v>24.31666666666667</v>
      </c>
      <c r="I154" s="11">
        <v>2.666666666666667</v>
      </c>
      <c r="J154" s="11">
        <v>5.6833333333333336</v>
      </c>
      <c r="K154" s="11">
        <v>44.133333333333333</v>
      </c>
      <c r="L154" s="11">
        <v>32.116666666666667</v>
      </c>
      <c r="M154" s="11">
        <v>240.50931666666659</v>
      </c>
    </row>
    <row r="155" spans="1:13" x14ac:dyDescent="0.25">
      <c r="A155" s="6">
        <v>46</v>
      </c>
      <c r="B155" s="6" t="s">
        <v>263</v>
      </c>
      <c r="C155" s="6" t="s">
        <v>300</v>
      </c>
      <c r="D155" s="6" t="s">
        <v>28</v>
      </c>
      <c r="E155" s="6" t="s">
        <v>33</v>
      </c>
      <c r="F155" s="6" t="s">
        <v>33</v>
      </c>
      <c r="G155" s="10">
        <v>34.833333333333343</v>
      </c>
      <c r="H155" s="10">
        <v>37.450000000000003</v>
      </c>
      <c r="I155" s="10">
        <v>18.850000000000001</v>
      </c>
      <c r="J155" s="10">
        <v>8</v>
      </c>
      <c r="K155" s="10">
        <v>64.659216666666666</v>
      </c>
      <c r="L155" s="10">
        <v>54.06666666666667</v>
      </c>
      <c r="M155" s="10">
        <v>176.77581666666671</v>
      </c>
    </row>
    <row r="156" spans="1:13" x14ac:dyDescent="0.25">
      <c r="A156" s="8">
        <v>46</v>
      </c>
      <c r="B156" s="8" t="s">
        <v>263</v>
      </c>
      <c r="C156" s="8" t="s">
        <v>301</v>
      </c>
      <c r="D156" s="8" t="s">
        <v>28</v>
      </c>
      <c r="E156" s="8" t="s">
        <v>33</v>
      </c>
      <c r="F156" s="8" t="s">
        <v>33</v>
      </c>
      <c r="G156" s="11">
        <v>0</v>
      </c>
      <c r="H156" s="11">
        <v>20.583333333333329</v>
      </c>
      <c r="I156" s="11">
        <v>2.833333333333333</v>
      </c>
      <c r="J156" s="11">
        <v>4</v>
      </c>
      <c r="K156" s="11">
        <v>46.733333333333327</v>
      </c>
      <c r="L156" s="11">
        <v>35.116666666666667</v>
      </c>
      <c r="M156" s="11">
        <v>220.48333333333329</v>
      </c>
    </row>
    <row r="157" spans="1:13" x14ac:dyDescent="0.25">
      <c r="A157" s="6">
        <v>47</v>
      </c>
      <c r="B157" s="6" t="s">
        <v>266</v>
      </c>
      <c r="C157" s="6" t="s">
        <v>300</v>
      </c>
      <c r="D157" s="6" t="s">
        <v>28</v>
      </c>
      <c r="E157" s="6" t="s">
        <v>31</v>
      </c>
      <c r="F157" s="6" t="s">
        <v>31</v>
      </c>
      <c r="G157" s="10">
        <v>44.68333333333333</v>
      </c>
      <c r="H157" s="10">
        <v>6.6833333333333336</v>
      </c>
      <c r="I157" s="10">
        <v>11.75</v>
      </c>
      <c r="J157" s="10">
        <v>2.0166666666666671</v>
      </c>
      <c r="K157" s="10">
        <v>64.3</v>
      </c>
      <c r="L157" s="10">
        <v>51.866666666666667</v>
      </c>
      <c r="M157" s="10">
        <v>172.54785000000001</v>
      </c>
    </row>
    <row r="158" spans="1:13" x14ac:dyDescent="0.25">
      <c r="A158" s="8">
        <v>47</v>
      </c>
      <c r="B158" s="8" t="s">
        <v>266</v>
      </c>
      <c r="C158" s="8" t="s">
        <v>301</v>
      </c>
      <c r="D158" s="8" t="s">
        <v>28</v>
      </c>
      <c r="E158" s="8" t="s">
        <v>31</v>
      </c>
      <c r="F158" s="8" t="s">
        <v>31</v>
      </c>
      <c r="G158" s="11">
        <v>0</v>
      </c>
      <c r="H158" s="11">
        <v>62.766666666666673</v>
      </c>
      <c r="I158" s="11">
        <v>8.9</v>
      </c>
      <c r="J158" s="11">
        <v>3.3</v>
      </c>
      <c r="K158" s="11">
        <v>67.36666666666666</v>
      </c>
      <c r="L158" s="11">
        <v>48.233333333333327</v>
      </c>
      <c r="M158" s="11">
        <v>221.9214666666667</v>
      </c>
    </row>
    <row r="159" spans="1:13" x14ac:dyDescent="0.25">
      <c r="A159" s="6">
        <v>48</v>
      </c>
      <c r="B159" s="6" t="s">
        <v>269</v>
      </c>
      <c r="C159" s="6" t="s">
        <v>300</v>
      </c>
      <c r="D159" s="6" t="s">
        <v>28</v>
      </c>
      <c r="E159" s="6" t="s">
        <v>33</v>
      </c>
      <c r="F159" s="6" t="s">
        <v>33</v>
      </c>
      <c r="G159" s="10">
        <v>0</v>
      </c>
      <c r="H159" s="10">
        <v>65.983333333333334</v>
      </c>
      <c r="I159" s="10">
        <v>30.533333333333331</v>
      </c>
      <c r="J159" s="10">
        <v>6.3833333333333337</v>
      </c>
      <c r="K159" s="10">
        <v>76.566666666666663</v>
      </c>
      <c r="L159" s="10">
        <v>59.983333333333327</v>
      </c>
      <c r="M159" s="10">
        <v>171.2833333333333</v>
      </c>
    </row>
    <row r="160" spans="1:13" x14ac:dyDescent="0.25">
      <c r="A160" s="8">
        <v>48</v>
      </c>
      <c r="B160" s="8" t="s">
        <v>269</v>
      </c>
      <c r="C160" s="8" t="s">
        <v>301</v>
      </c>
      <c r="D160" s="8" t="s">
        <v>28</v>
      </c>
      <c r="E160" s="8" t="s">
        <v>33</v>
      </c>
      <c r="F160" s="8" t="s">
        <v>33</v>
      </c>
      <c r="G160" s="11">
        <v>0</v>
      </c>
      <c r="H160" s="11">
        <v>35.4</v>
      </c>
      <c r="I160" s="11">
        <v>6.3166666666666664</v>
      </c>
      <c r="J160" s="11">
        <v>10.35</v>
      </c>
      <c r="K160" s="11">
        <v>65.8</v>
      </c>
      <c r="L160" s="11">
        <v>46.880533333333332</v>
      </c>
      <c r="M160" s="11">
        <v>183.4</v>
      </c>
    </row>
    <row r="161" spans="1:13" x14ac:dyDescent="0.25">
      <c r="A161" s="6">
        <v>49</v>
      </c>
      <c r="B161" s="6" t="s">
        <v>273</v>
      </c>
      <c r="C161" s="6" t="s">
        <v>300</v>
      </c>
      <c r="D161" s="6" t="s">
        <v>28</v>
      </c>
      <c r="E161" s="6" t="s">
        <v>33</v>
      </c>
      <c r="F161" s="6" t="s">
        <v>33</v>
      </c>
      <c r="G161" s="10">
        <v>0</v>
      </c>
      <c r="H161" s="10">
        <v>65.983333333333334</v>
      </c>
      <c r="I161" s="10">
        <v>30.533333333333331</v>
      </c>
      <c r="J161" s="10">
        <v>6.3</v>
      </c>
      <c r="K161" s="10">
        <v>75.514616666666669</v>
      </c>
      <c r="L161" s="10">
        <v>59.383333333333333</v>
      </c>
      <c r="M161" s="10">
        <v>170.0333333333333</v>
      </c>
    </row>
    <row r="162" spans="1:13" x14ac:dyDescent="0.25">
      <c r="A162" s="8">
        <v>49</v>
      </c>
      <c r="B162" s="8" t="s">
        <v>273</v>
      </c>
      <c r="C162" s="8" t="s">
        <v>301</v>
      </c>
      <c r="D162" s="8" t="s">
        <v>28</v>
      </c>
      <c r="E162" s="8" t="s">
        <v>33</v>
      </c>
      <c r="F162" s="8" t="s">
        <v>33</v>
      </c>
      <c r="G162" s="11">
        <v>0</v>
      </c>
      <c r="H162" s="11">
        <v>20.633333333333329</v>
      </c>
      <c r="I162" s="11">
        <v>2.666666666666667</v>
      </c>
      <c r="J162" s="11">
        <v>5.0166666666666666</v>
      </c>
      <c r="K162" s="11">
        <v>43.1</v>
      </c>
      <c r="L162" s="11">
        <v>32.116666666666667</v>
      </c>
      <c r="M162" s="11">
        <v>242.5133166666667</v>
      </c>
    </row>
    <row r="163" spans="1:13" x14ac:dyDescent="0.25">
      <c r="A163" s="6">
        <v>50</v>
      </c>
      <c r="B163" s="6" t="s">
        <v>277</v>
      </c>
      <c r="C163" s="6" t="s">
        <v>300</v>
      </c>
      <c r="D163" s="6" t="s">
        <v>28</v>
      </c>
      <c r="E163" s="6" t="s">
        <v>33</v>
      </c>
      <c r="F163" s="6" t="s">
        <v>33</v>
      </c>
      <c r="G163" s="10">
        <v>34.833333333333343</v>
      </c>
      <c r="H163" s="10">
        <v>58.166666666666657</v>
      </c>
      <c r="I163" s="10">
        <v>21.679983333333329</v>
      </c>
      <c r="J163" s="10">
        <v>8.0833333333333339</v>
      </c>
      <c r="K163" s="10">
        <v>65.966666666666669</v>
      </c>
      <c r="L163" s="10">
        <v>54.8</v>
      </c>
      <c r="M163" s="10">
        <v>177.1166666666667</v>
      </c>
    </row>
    <row r="164" spans="1:13" x14ac:dyDescent="0.25">
      <c r="A164" s="8">
        <v>50</v>
      </c>
      <c r="B164" s="8" t="s">
        <v>277</v>
      </c>
      <c r="C164" s="8" t="s">
        <v>301</v>
      </c>
      <c r="D164" s="8" t="s">
        <v>28</v>
      </c>
      <c r="E164" s="8" t="s">
        <v>33</v>
      </c>
      <c r="F164" s="8" t="s">
        <v>33</v>
      </c>
      <c r="G164" s="11">
        <v>0</v>
      </c>
      <c r="H164" s="11">
        <v>35.4</v>
      </c>
      <c r="I164" s="11">
        <v>6.3166666666666664</v>
      </c>
      <c r="J164" s="11">
        <v>10.68333333333333</v>
      </c>
      <c r="K164" s="11">
        <v>66.099999999999994</v>
      </c>
      <c r="L164" s="11">
        <v>47.533333333333331</v>
      </c>
      <c r="M164" s="11">
        <v>185.7166666666667</v>
      </c>
    </row>
    <row r="165" spans="1:13" x14ac:dyDescent="0.25">
      <c r="A165" s="6">
        <v>51</v>
      </c>
      <c r="B165" s="6" t="s">
        <v>281</v>
      </c>
      <c r="C165" s="6" t="s">
        <v>300</v>
      </c>
      <c r="D165" s="6" t="s">
        <v>28</v>
      </c>
      <c r="E165" s="6" t="s">
        <v>29</v>
      </c>
      <c r="F165" s="6" t="s">
        <v>96</v>
      </c>
      <c r="G165" s="10">
        <v>0</v>
      </c>
      <c r="H165" s="10">
        <v>35.56666666666667</v>
      </c>
      <c r="I165" s="10">
        <v>30.984083333333331</v>
      </c>
      <c r="J165" s="10">
        <v>3.3</v>
      </c>
      <c r="K165" s="10">
        <v>67.480850000000004</v>
      </c>
      <c r="L165" s="10">
        <v>48.56666666666667</v>
      </c>
      <c r="M165" s="10">
        <v>79.916666666666671</v>
      </c>
    </row>
    <row r="166" spans="1:13" x14ac:dyDescent="0.25">
      <c r="A166" s="8">
        <v>51</v>
      </c>
      <c r="B166" s="8" t="s">
        <v>281</v>
      </c>
      <c r="C166" s="8" t="s">
        <v>301</v>
      </c>
      <c r="D166" s="8" t="s">
        <v>28</v>
      </c>
      <c r="E166" s="8" t="s">
        <v>29</v>
      </c>
      <c r="F166" s="8" t="s">
        <v>96</v>
      </c>
      <c r="G166" s="11">
        <v>0</v>
      </c>
      <c r="H166" s="11">
        <v>48.18333333333333</v>
      </c>
      <c r="I166" s="11">
        <v>17.666666666666671</v>
      </c>
      <c r="J166" s="11">
        <v>10.233333333333331</v>
      </c>
      <c r="K166" s="11">
        <v>51.033333333333331</v>
      </c>
      <c r="L166" s="11">
        <v>37.133333333333333</v>
      </c>
      <c r="M166" s="11">
        <v>121.31666666666671</v>
      </c>
    </row>
    <row r="167" spans="1:13" x14ac:dyDescent="0.25">
      <c r="A167" s="6">
        <v>52</v>
      </c>
      <c r="B167" s="6" t="s">
        <v>283</v>
      </c>
      <c r="C167" s="6" t="s">
        <v>300</v>
      </c>
      <c r="D167" s="6" t="s">
        <v>28</v>
      </c>
      <c r="E167" s="6" t="s">
        <v>29</v>
      </c>
      <c r="F167" s="6" t="s">
        <v>130</v>
      </c>
      <c r="G167" s="10">
        <v>0</v>
      </c>
      <c r="H167" s="10">
        <v>35.1</v>
      </c>
      <c r="I167" s="10">
        <v>15.116666666666671</v>
      </c>
      <c r="J167" s="10">
        <v>6.6</v>
      </c>
      <c r="K167" s="10">
        <v>73.302949999999996</v>
      </c>
      <c r="L167" s="10">
        <v>55.483333333333327</v>
      </c>
      <c r="M167" s="10">
        <v>78.349999999999994</v>
      </c>
    </row>
    <row r="168" spans="1:13" x14ac:dyDescent="0.25">
      <c r="A168" s="8">
        <v>52</v>
      </c>
      <c r="B168" s="8" t="s">
        <v>283</v>
      </c>
      <c r="C168" s="8" t="s">
        <v>301</v>
      </c>
      <c r="D168" s="8" t="s">
        <v>28</v>
      </c>
      <c r="E168" s="8" t="s">
        <v>29</v>
      </c>
      <c r="F168" s="8" t="s">
        <v>130</v>
      </c>
      <c r="G168" s="11">
        <v>0</v>
      </c>
      <c r="H168" s="11">
        <v>26.333333333333329</v>
      </c>
      <c r="I168" s="11">
        <v>10.016666666666669</v>
      </c>
      <c r="J168" s="11">
        <v>14.15</v>
      </c>
      <c r="K168" s="11">
        <v>51.266666666666673</v>
      </c>
      <c r="L168" s="11">
        <v>41.040366666666657</v>
      </c>
      <c r="M168" s="11">
        <v>143.5333333333333</v>
      </c>
    </row>
    <row r="169" spans="1:13" x14ac:dyDescent="0.25">
      <c r="A169" s="6">
        <v>53</v>
      </c>
      <c r="B169" s="6" t="s">
        <v>287</v>
      </c>
      <c r="C169" s="6" t="s">
        <v>300</v>
      </c>
      <c r="D169" s="6" t="s">
        <v>28</v>
      </c>
      <c r="E169" s="6" t="s">
        <v>31</v>
      </c>
      <c r="F169" s="6" t="s">
        <v>31</v>
      </c>
      <c r="G169" s="10">
        <v>44.68333333333333</v>
      </c>
      <c r="H169" s="10">
        <v>6.6833333333333336</v>
      </c>
      <c r="I169" s="10">
        <v>11.75</v>
      </c>
      <c r="J169" s="10">
        <v>2.0166666666666671</v>
      </c>
      <c r="K169" s="10">
        <v>64.3</v>
      </c>
      <c r="L169" s="10">
        <v>51.866666666666667</v>
      </c>
      <c r="M169" s="10">
        <v>172.54785000000001</v>
      </c>
    </row>
    <row r="170" spans="1:13" x14ac:dyDescent="0.25">
      <c r="A170" s="8">
        <v>53</v>
      </c>
      <c r="B170" s="8" t="s">
        <v>287</v>
      </c>
      <c r="C170" s="8" t="s">
        <v>301</v>
      </c>
      <c r="D170" s="8" t="s">
        <v>28</v>
      </c>
      <c r="E170" s="8" t="s">
        <v>31</v>
      </c>
      <c r="F170" s="8" t="s">
        <v>31</v>
      </c>
      <c r="G170" s="11">
        <v>0</v>
      </c>
      <c r="H170" s="11">
        <v>3.0166666666666671</v>
      </c>
      <c r="I170" s="11">
        <v>4.3</v>
      </c>
      <c r="J170" s="11">
        <v>1.8833333333333331</v>
      </c>
      <c r="K170" s="11">
        <v>48.913433333333337</v>
      </c>
      <c r="L170" s="11">
        <v>35.333333333333343</v>
      </c>
      <c r="M170" s="11">
        <v>224.5</v>
      </c>
    </row>
    <row r="171" spans="1:13" x14ac:dyDescent="0.25">
      <c r="A171" s="6">
        <v>54</v>
      </c>
      <c r="B171" s="6" t="s">
        <v>289</v>
      </c>
      <c r="C171" s="6" t="s">
        <v>300</v>
      </c>
      <c r="D171" s="6" t="s">
        <v>28</v>
      </c>
      <c r="E171" s="6" t="s">
        <v>33</v>
      </c>
      <c r="F171" s="6" t="s">
        <v>33</v>
      </c>
      <c r="G171" s="10">
        <v>34.833333333333343</v>
      </c>
      <c r="H171" s="10">
        <v>58.166666666666657</v>
      </c>
      <c r="I171" s="10">
        <v>21.679983333333329</v>
      </c>
      <c r="J171" s="10">
        <v>8</v>
      </c>
      <c r="K171" s="10">
        <v>64.5</v>
      </c>
      <c r="L171" s="10">
        <v>53.652149999999999</v>
      </c>
      <c r="M171" s="10">
        <v>176.5333333333333</v>
      </c>
    </row>
    <row r="172" spans="1:13" x14ac:dyDescent="0.25">
      <c r="A172" s="8">
        <v>54</v>
      </c>
      <c r="B172" s="8" t="s">
        <v>289</v>
      </c>
      <c r="C172" s="8" t="s">
        <v>301</v>
      </c>
      <c r="D172" s="8" t="s">
        <v>28</v>
      </c>
      <c r="E172" s="8" t="s">
        <v>33</v>
      </c>
      <c r="F172" s="8" t="s">
        <v>33</v>
      </c>
      <c r="G172" s="11">
        <v>0</v>
      </c>
      <c r="H172" s="11">
        <v>24.31666666666667</v>
      </c>
      <c r="I172" s="11">
        <v>2.666666666666667</v>
      </c>
      <c r="J172" s="11">
        <v>5.6833333333333336</v>
      </c>
      <c r="K172" s="11">
        <v>44.466666666666669</v>
      </c>
      <c r="L172" s="11">
        <v>32.450000000000003</v>
      </c>
      <c r="M172" s="11">
        <v>243.15</v>
      </c>
    </row>
    <row r="175" spans="1:13" ht="27.95" customHeight="1" x14ac:dyDescent="0.25">
      <c r="A175" s="55" t="s">
        <v>305</v>
      </c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</row>
    <row r="176" spans="1:13" ht="3.9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8" spans="1:13" ht="30" x14ac:dyDescent="0.25">
      <c r="A178" s="9" t="s">
        <v>59</v>
      </c>
      <c r="B178" s="9" t="s">
        <v>60</v>
      </c>
      <c r="C178" s="9" t="s">
        <v>292</v>
      </c>
      <c r="D178" s="9" t="s">
        <v>24</v>
      </c>
      <c r="E178" s="9" t="s">
        <v>61</v>
      </c>
      <c r="F178" s="9" t="s">
        <v>62</v>
      </c>
      <c r="G178" s="9" t="s">
        <v>293</v>
      </c>
      <c r="H178" s="9" t="s">
        <v>294</v>
      </c>
      <c r="I178" s="9" t="s">
        <v>295</v>
      </c>
      <c r="J178" s="9" t="s">
        <v>296</v>
      </c>
      <c r="K178" s="9" t="s">
        <v>297</v>
      </c>
      <c r="L178" s="9" t="s">
        <v>298</v>
      </c>
      <c r="M178" s="9" t="s">
        <v>299</v>
      </c>
    </row>
    <row r="179" spans="1:13" x14ac:dyDescent="0.25">
      <c r="A179" s="6">
        <v>1</v>
      </c>
      <c r="B179" s="6" t="s">
        <v>75</v>
      </c>
      <c r="C179" s="6" t="s">
        <v>300</v>
      </c>
      <c r="D179" s="6" t="s">
        <v>28</v>
      </c>
      <c r="E179" s="6" t="s">
        <v>35</v>
      </c>
      <c r="F179" s="6" t="s">
        <v>76</v>
      </c>
      <c r="G179" s="10">
        <v>0.31331323290921648</v>
      </c>
      <c r="H179" s="10">
        <v>4.1652318794050638E-2</v>
      </c>
      <c r="I179" s="10">
        <v>0.155968406398383</v>
      </c>
      <c r="J179" s="10">
        <v>0.44927380259769911</v>
      </c>
      <c r="K179" s="10">
        <v>60.308696506028731</v>
      </c>
      <c r="L179" s="10">
        <v>44.619089325926979</v>
      </c>
      <c r="M179" s="10">
        <v>199.27859331962469</v>
      </c>
    </row>
    <row r="180" spans="1:13" x14ac:dyDescent="0.25">
      <c r="A180" s="8">
        <v>1</v>
      </c>
      <c r="B180" s="8" t="s">
        <v>75</v>
      </c>
      <c r="C180" s="8" t="s">
        <v>301</v>
      </c>
      <c r="D180" s="8" t="s">
        <v>28</v>
      </c>
      <c r="E180" s="8" t="s">
        <v>35</v>
      </c>
      <c r="F180" s="8" t="s">
        <v>76</v>
      </c>
      <c r="G180" s="11">
        <v>0</v>
      </c>
      <c r="H180" s="11">
        <v>0.2136487015115684</v>
      </c>
      <c r="I180" s="11">
        <v>0</v>
      </c>
      <c r="J180" s="11">
        <v>0.30731281945969252</v>
      </c>
      <c r="K180" s="11">
        <v>55.580881691351998</v>
      </c>
      <c r="L180" s="11">
        <v>38.88632527176938</v>
      </c>
      <c r="M180" s="11">
        <v>215.4860733436561</v>
      </c>
    </row>
    <row r="181" spans="1:13" x14ac:dyDescent="0.25">
      <c r="A181" s="6">
        <v>2</v>
      </c>
      <c r="B181" s="6" t="s">
        <v>83</v>
      </c>
      <c r="C181" s="6" t="s">
        <v>300</v>
      </c>
      <c r="D181" s="6" t="s">
        <v>28</v>
      </c>
      <c r="E181" s="6" t="s">
        <v>35</v>
      </c>
      <c r="F181" s="6" t="s">
        <v>76</v>
      </c>
      <c r="G181" s="10">
        <v>0.31331323290921648</v>
      </c>
      <c r="H181" s="10">
        <v>4.1652318794050638E-2</v>
      </c>
      <c r="I181" s="10">
        <v>0.155968406398383</v>
      </c>
      <c r="J181" s="10">
        <v>0.44927380259769911</v>
      </c>
      <c r="K181" s="10">
        <v>60.301496385496783</v>
      </c>
      <c r="L181" s="10">
        <v>44.619089325926979</v>
      </c>
      <c r="M181" s="10">
        <v>199.22648418736321</v>
      </c>
    </row>
    <row r="182" spans="1:13" x14ac:dyDescent="0.25">
      <c r="A182" s="8">
        <v>2</v>
      </c>
      <c r="B182" s="8" t="s">
        <v>83</v>
      </c>
      <c r="C182" s="8" t="s">
        <v>301</v>
      </c>
      <c r="D182" s="8" t="s">
        <v>28</v>
      </c>
      <c r="E182" s="8" t="s">
        <v>35</v>
      </c>
      <c r="F182" s="8" t="s">
        <v>76</v>
      </c>
      <c r="G182" s="11">
        <v>0</v>
      </c>
      <c r="H182" s="11">
        <v>8.3882197240028836E-2</v>
      </c>
      <c r="I182" s="11">
        <v>3.091495950618035E-2</v>
      </c>
      <c r="J182" s="11">
        <v>0.2309310830082773</v>
      </c>
      <c r="K182" s="11">
        <v>57.928893825091471</v>
      </c>
      <c r="L182" s="11">
        <v>43.162925395186832</v>
      </c>
      <c r="M182" s="11">
        <v>203.77852793806281</v>
      </c>
    </row>
    <row r="183" spans="1:13" x14ac:dyDescent="0.25">
      <c r="A183" s="6">
        <v>3</v>
      </c>
      <c r="B183" s="6" t="s">
        <v>87</v>
      </c>
      <c r="C183" s="6" t="s">
        <v>300</v>
      </c>
      <c r="D183" s="6" t="s">
        <v>28</v>
      </c>
      <c r="E183" s="6" t="s">
        <v>35</v>
      </c>
      <c r="F183" s="6" t="s">
        <v>88</v>
      </c>
      <c r="G183" s="10">
        <v>0.32207239596471771</v>
      </c>
      <c r="H183" s="10">
        <v>0.46962669093374088</v>
      </c>
      <c r="I183" s="10">
        <v>0</v>
      </c>
      <c r="J183" s="10">
        <v>0.26467880112010561</v>
      </c>
      <c r="K183" s="10">
        <v>46.828639184274387</v>
      </c>
      <c r="L183" s="10">
        <v>41.953809708617477</v>
      </c>
      <c r="M183" s="10">
        <v>230.50068292981709</v>
      </c>
    </row>
    <row r="184" spans="1:13" x14ac:dyDescent="0.25">
      <c r="A184" s="8">
        <v>3</v>
      </c>
      <c r="B184" s="8" t="s">
        <v>87</v>
      </c>
      <c r="C184" s="8" t="s">
        <v>301</v>
      </c>
      <c r="D184" s="8" t="s">
        <v>28</v>
      </c>
      <c r="E184" s="8" t="s">
        <v>35</v>
      </c>
      <c r="F184" s="8" t="s">
        <v>88</v>
      </c>
      <c r="G184" s="11">
        <v>0</v>
      </c>
      <c r="H184" s="11">
        <v>0.34734042341449439</v>
      </c>
      <c r="I184" s="11">
        <v>0</v>
      </c>
      <c r="J184" s="11">
        <v>0.43740140315438419</v>
      </c>
      <c r="K184" s="11">
        <v>58.410381444501432</v>
      </c>
      <c r="L184" s="11">
        <v>47.464359459883809</v>
      </c>
      <c r="M184" s="11">
        <v>214.02953530309489</v>
      </c>
    </row>
    <row r="185" spans="1:13" x14ac:dyDescent="0.25">
      <c r="A185" s="6">
        <v>4</v>
      </c>
      <c r="B185" s="6" t="s">
        <v>95</v>
      </c>
      <c r="C185" s="6" t="s">
        <v>300</v>
      </c>
      <c r="D185" s="6" t="s">
        <v>28</v>
      </c>
      <c r="E185" s="6" t="s">
        <v>29</v>
      </c>
      <c r="F185" s="6" t="s">
        <v>96</v>
      </c>
      <c r="G185" s="10">
        <v>0</v>
      </c>
      <c r="H185" s="10">
        <v>0.35568686098748031</v>
      </c>
      <c r="I185" s="10">
        <v>0.57585003194744566</v>
      </c>
      <c r="J185" s="10">
        <v>0.62657519758941227</v>
      </c>
      <c r="K185" s="10">
        <v>44.777394576317398</v>
      </c>
      <c r="L185" s="10">
        <v>31.030770141318762</v>
      </c>
      <c r="M185" s="10">
        <v>70.832492215617009</v>
      </c>
    </row>
    <row r="186" spans="1:13" x14ac:dyDescent="0.25">
      <c r="A186" s="8">
        <v>4</v>
      </c>
      <c r="B186" s="8" t="s">
        <v>95</v>
      </c>
      <c r="C186" s="8" t="s">
        <v>301</v>
      </c>
      <c r="D186" s="8" t="s">
        <v>28</v>
      </c>
      <c r="E186" s="8" t="s">
        <v>29</v>
      </c>
      <c r="F186" s="8" t="s">
        <v>96</v>
      </c>
      <c r="G186" s="11">
        <v>0</v>
      </c>
      <c r="H186" s="11">
        <v>0.83987814360898194</v>
      </c>
      <c r="I186" s="11">
        <v>1.7979996304002079</v>
      </c>
      <c r="J186" s="11">
        <v>0.57590785271071809</v>
      </c>
      <c r="K186" s="11">
        <v>16.043682536598411</v>
      </c>
      <c r="L186" s="11">
        <v>16.779596658523619</v>
      </c>
      <c r="M186" s="11">
        <v>112.0883548622644</v>
      </c>
    </row>
    <row r="187" spans="1:13" x14ac:dyDescent="0.25">
      <c r="A187" s="6">
        <v>5</v>
      </c>
      <c r="B187" s="6" t="s">
        <v>102</v>
      </c>
      <c r="C187" s="6" t="s">
        <v>300</v>
      </c>
      <c r="D187" s="6" t="s">
        <v>28</v>
      </c>
      <c r="E187" s="6" t="s">
        <v>29</v>
      </c>
      <c r="F187" s="6" t="s">
        <v>96</v>
      </c>
      <c r="G187" s="10">
        <v>0</v>
      </c>
      <c r="H187" s="10">
        <v>0.35568686098748031</v>
      </c>
      <c r="I187" s="10">
        <v>0.46935934842854138</v>
      </c>
      <c r="J187" s="10">
        <v>0.35650575379932598</v>
      </c>
      <c r="K187" s="10">
        <v>43.251327961348252</v>
      </c>
      <c r="L187" s="10">
        <v>30.282041524727092</v>
      </c>
      <c r="M187" s="10">
        <v>66.907081684469304</v>
      </c>
    </row>
    <row r="188" spans="1:13" x14ac:dyDescent="0.25">
      <c r="A188" s="8">
        <v>5</v>
      </c>
      <c r="B188" s="8" t="s">
        <v>102</v>
      </c>
      <c r="C188" s="8" t="s">
        <v>301</v>
      </c>
      <c r="D188" s="8" t="s">
        <v>28</v>
      </c>
      <c r="E188" s="8" t="s">
        <v>29</v>
      </c>
      <c r="F188" s="8" t="s">
        <v>96</v>
      </c>
      <c r="G188" s="11">
        <v>0</v>
      </c>
      <c r="H188" s="11">
        <v>0.22156090055420241</v>
      </c>
      <c r="I188" s="11">
        <v>0</v>
      </c>
      <c r="J188" s="11">
        <v>0.11647473715777031</v>
      </c>
      <c r="K188" s="11">
        <v>21.52228685090974</v>
      </c>
      <c r="L188" s="11">
        <v>17.072623143274491</v>
      </c>
      <c r="M188" s="11">
        <v>102.738159054381</v>
      </c>
    </row>
    <row r="189" spans="1:13" x14ac:dyDescent="0.25">
      <c r="A189" s="6">
        <v>6</v>
      </c>
      <c r="B189" s="6" t="s">
        <v>108</v>
      </c>
      <c r="C189" s="6" t="s">
        <v>300</v>
      </c>
      <c r="D189" s="6" t="s">
        <v>28</v>
      </c>
      <c r="E189" s="6" t="s">
        <v>29</v>
      </c>
      <c r="F189" s="6" t="s">
        <v>96</v>
      </c>
      <c r="G189" s="10">
        <v>0</v>
      </c>
      <c r="H189" s="10">
        <v>0.38306581509713777</v>
      </c>
      <c r="I189" s="10">
        <v>2.3361160569771502</v>
      </c>
      <c r="J189" s="10">
        <v>0.20461421027387261</v>
      </c>
      <c r="K189" s="10">
        <v>38.636070215722071</v>
      </c>
      <c r="L189" s="10">
        <v>26.286683002730651</v>
      </c>
      <c r="M189" s="10">
        <v>80.361862644527108</v>
      </c>
    </row>
    <row r="190" spans="1:13" x14ac:dyDescent="0.25">
      <c r="A190" s="8">
        <v>6</v>
      </c>
      <c r="B190" s="8" t="s">
        <v>108</v>
      </c>
      <c r="C190" s="8" t="s">
        <v>301</v>
      </c>
      <c r="D190" s="8" t="s">
        <v>28</v>
      </c>
      <c r="E190" s="8" t="s">
        <v>29</v>
      </c>
      <c r="F190" s="8" t="s">
        <v>96</v>
      </c>
      <c r="G190" s="11">
        <v>0</v>
      </c>
      <c r="H190" s="11">
        <v>0.83987814360898194</v>
      </c>
      <c r="I190" s="11">
        <v>1.7979996304002079</v>
      </c>
      <c r="J190" s="11">
        <v>0.57590785271071809</v>
      </c>
      <c r="K190" s="11">
        <v>16.043682536598411</v>
      </c>
      <c r="L190" s="11">
        <v>16.779596658523619</v>
      </c>
      <c r="M190" s="11">
        <v>112.1131547520701</v>
      </c>
    </row>
    <row r="191" spans="1:13" x14ac:dyDescent="0.25">
      <c r="A191" s="6">
        <v>7</v>
      </c>
      <c r="B191" s="6" t="s">
        <v>111</v>
      </c>
      <c r="C191" s="6" t="s">
        <v>300</v>
      </c>
      <c r="D191" s="6" t="s">
        <v>28</v>
      </c>
      <c r="E191" s="6" t="s">
        <v>29</v>
      </c>
      <c r="F191" s="6" t="s">
        <v>96</v>
      </c>
      <c r="G191" s="10">
        <v>0</v>
      </c>
      <c r="H191" s="10">
        <v>0.4715380269015641</v>
      </c>
      <c r="I191" s="10">
        <v>0.72334267161559207</v>
      </c>
      <c r="J191" s="10">
        <v>0.62657519758941227</v>
      </c>
      <c r="K191" s="10">
        <v>44.372426251753588</v>
      </c>
      <c r="L191" s="10">
        <v>30.69503766819436</v>
      </c>
      <c r="M191" s="10">
        <v>69.221442413661691</v>
      </c>
    </row>
    <row r="192" spans="1:13" x14ac:dyDescent="0.25">
      <c r="A192" s="8">
        <v>7</v>
      </c>
      <c r="B192" s="8" t="s">
        <v>111</v>
      </c>
      <c r="C192" s="8" t="s">
        <v>301</v>
      </c>
      <c r="D192" s="8" t="s">
        <v>28</v>
      </c>
      <c r="E192" s="8" t="s">
        <v>29</v>
      </c>
      <c r="F192" s="8" t="s">
        <v>96</v>
      </c>
      <c r="G192" s="11">
        <v>0</v>
      </c>
      <c r="H192" s="11">
        <v>0.56746055645718996</v>
      </c>
      <c r="I192" s="11">
        <v>0.55256306869115623</v>
      </c>
      <c r="J192" s="11">
        <v>1.005496809016533</v>
      </c>
      <c r="K192" s="11">
        <v>27.609909695058061</v>
      </c>
      <c r="L192" s="11">
        <v>19.892928271907479</v>
      </c>
      <c r="M192" s="11">
        <v>96.565811989808935</v>
      </c>
    </row>
    <row r="193" spans="1:13" x14ac:dyDescent="0.25">
      <c r="A193" s="6">
        <v>8</v>
      </c>
      <c r="B193" s="6" t="s">
        <v>117</v>
      </c>
      <c r="C193" s="6" t="s">
        <v>300</v>
      </c>
      <c r="D193" s="6" t="s">
        <v>28</v>
      </c>
      <c r="E193" s="6" t="s">
        <v>29</v>
      </c>
      <c r="F193" s="6" t="s">
        <v>96</v>
      </c>
      <c r="G193" s="10">
        <v>0</v>
      </c>
      <c r="H193" s="10">
        <v>0.37366038708160421</v>
      </c>
      <c r="I193" s="10">
        <v>0.70152151256216355</v>
      </c>
      <c r="J193" s="10">
        <v>0</v>
      </c>
      <c r="K193" s="10">
        <v>37.607352721049807</v>
      </c>
      <c r="L193" s="10">
        <v>27.61065850344794</v>
      </c>
      <c r="M193" s="10">
        <v>81.51318776562465</v>
      </c>
    </row>
    <row r="194" spans="1:13" x14ac:dyDescent="0.25">
      <c r="A194" s="8">
        <v>8</v>
      </c>
      <c r="B194" s="8" t="s">
        <v>117</v>
      </c>
      <c r="C194" s="8" t="s">
        <v>301</v>
      </c>
      <c r="D194" s="8" t="s">
        <v>28</v>
      </c>
      <c r="E194" s="8" t="s">
        <v>29</v>
      </c>
      <c r="F194" s="8" t="s">
        <v>96</v>
      </c>
      <c r="G194" s="11">
        <v>0</v>
      </c>
      <c r="H194" s="11">
        <v>0.83987814360898194</v>
      </c>
      <c r="I194" s="11">
        <v>1.7979996304002079</v>
      </c>
      <c r="J194" s="11">
        <v>0.46558889600755871</v>
      </c>
      <c r="K194" s="11">
        <v>16.046588129687478</v>
      </c>
      <c r="L194" s="11">
        <v>16.779596658523619</v>
      </c>
      <c r="M194" s="11">
        <v>111.8050567661586</v>
      </c>
    </row>
    <row r="195" spans="1:13" x14ac:dyDescent="0.25">
      <c r="A195" s="6">
        <v>9</v>
      </c>
      <c r="B195" s="6" t="s">
        <v>121</v>
      </c>
      <c r="C195" s="6" t="s">
        <v>300</v>
      </c>
      <c r="D195" s="6" t="s">
        <v>28</v>
      </c>
      <c r="E195" s="6" t="s">
        <v>29</v>
      </c>
      <c r="F195" s="6" t="s">
        <v>96</v>
      </c>
      <c r="G195" s="10">
        <v>0</v>
      </c>
      <c r="H195" s="10">
        <v>0.47498370401507511</v>
      </c>
      <c r="I195" s="10">
        <v>0.57585003194744566</v>
      </c>
      <c r="J195" s="10">
        <v>0.62657519758941227</v>
      </c>
      <c r="K195" s="10">
        <v>45.772824782401209</v>
      </c>
      <c r="L195" s="10">
        <v>32.149418815464323</v>
      </c>
      <c r="M195" s="10">
        <v>73.935191620178145</v>
      </c>
    </row>
    <row r="196" spans="1:13" x14ac:dyDescent="0.25">
      <c r="A196" s="8">
        <v>9</v>
      </c>
      <c r="B196" s="8" t="s">
        <v>121</v>
      </c>
      <c r="C196" s="8" t="s">
        <v>301</v>
      </c>
      <c r="D196" s="8" t="s">
        <v>28</v>
      </c>
      <c r="E196" s="8" t="s">
        <v>29</v>
      </c>
      <c r="F196" s="8" t="s">
        <v>96</v>
      </c>
      <c r="G196" s="11">
        <v>0</v>
      </c>
      <c r="H196" s="11">
        <v>0.65269298090049266</v>
      </c>
      <c r="I196" s="11">
        <v>1.4671353884529701</v>
      </c>
      <c r="J196" s="11">
        <v>1.3169091629820999</v>
      </c>
      <c r="K196" s="11">
        <v>32.191335446084793</v>
      </c>
      <c r="L196" s="11">
        <v>24.26414905968165</v>
      </c>
      <c r="M196" s="11">
        <v>93.660439746609754</v>
      </c>
    </row>
    <row r="197" spans="1:13" x14ac:dyDescent="0.25">
      <c r="A197" s="6">
        <v>10</v>
      </c>
      <c r="B197" s="6" t="s">
        <v>126</v>
      </c>
      <c r="C197" s="6" t="s">
        <v>300</v>
      </c>
      <c r="D197" s="6" t="s">
        <v>28</v>
      </c>
      <c r="E197" s="6" t="s">
        <v>29</v>
      </c>
      <c r="F197" s="6" t="s">
        <v>96</v>
      </c>
      <c r="G197" s="10">
        <v>0</v>
      </c>
      <c r="H197" s="10">
        <v>0.59332623218911007</v>
      </c>
      <c r="I197" s="10">
        <v>0.50673195714436814</v>
      </c>
      <c r="J197" s="10">
        <v>0.17990784099446211</v>
      </c>
      <c r="K197" s="10">
        <v>45.789637948542399</v>
      </c>
      <c r="L197" s="10">
        <v>33.363070952937612</v>
      </c>
      <c r="M197" s="10">
        <v>67.975437349422975</v>
      </c>
    </row>
    <row r="198" spans="1:13" x14ac:dyDescent="0.25">
      <c r="A198" s="8">
        <v>10</v>
      </c>
      <c r="B198" s="8" t="s">
        <v>126</v>
      </c>
      <c r="C198" s="8" t="s">
        <v>301</v>
      </c>
      <c r="D198" s="8" t="s">
        <v>28</v>
      </c>
      <c r="E198" s="8" t="s">
        <v>29</v>
      </c>
      <c r="F198" s="8" t="s">
        <v>96</v>
      </c>
      <c r="G198" s="11">
        <v>0</v>
      </c>
      <c r="H198" s="11">
        <v>0.83987814360898194</v>
      </c>
      <c r="I198" s="11">
        <v>1.7979996304002079</v>
      </c>
      <c r="J198" s="11">
        <v>0.57590785271071809</v>
      </c>
      <c r="K198" s="11">
        <v>16.043682536598411</v>
      </c>
      <c r="L198" s="11">
        <v>16.779596658523619</v>
      </c>
      <c r="M198" s="11">
        <v>112.1322772301322</v>
      </c>
    </row>
    <row r="199" spans="1:13" x14ac:dyDescent="0.25">
      <c r="A199" s="6">
        <v>11</v>
      </c>
      <c r="B199" s="6" t="s">
        <v>129</v>
      </c>
      <c r="C199" s="6" t="s">
        <v>300</v>
      </c>
      <c r="D199" s="6" t="s">
        <v>28</v>
      </c>
      <c r="E199" s="6" t="s">
        <v>29</v>
      </c>
      <c r="F199" s="6" t="s">
        <v>130</v>
      </c>
      <c r="G199" s="10">
        <v>0</v>
      </c>
      <c r="H199" s="10">
        <v>1.3321013582624259</v>
      </c>
      <c r="I199" s="10">
        <v>0.75410540916294477</v>
      </c>
      <c r="J199" s="10">
        <v>0.43943113160824449</v>
      </c>
      <c r="K199" s="10">
        <v>42.768056236857731</v>
      </c>
      <c r="L199" s="10">
        <v>29.775024172432051</v>
      </c>
      <c r="M199" s="10">
        <v>68.609609149335569</v>
      </c>
    </row>
    <row r="200" spans="1:13" x14ac:dyDescent="0.25">
      <c r="A200" s="8">
        <v>11</v>
      </c>
      <c r="B200" s="8" t="s">
        <v>129</v>
      </c>
      <c r="C200" s="8" t="s">
        <v>301</v>
      </c>
      <c r="D200" s="8" t="s">
        <v>28</v>
      </c>
      <c r="E200" s="8" t="s">
        <v>29</v>
      </c>
      <c r="F200" s="8" t="s">
        <v>130</v>
      </c>
      <c r="G200" s="11">
        <v>0</v>
      </c>
      <c r="H200" s="11">
        <v>0.43407803900839542</v>
      </c>
      <c r="I200" s="11">
        <v>2.0389552164336071</v>
      </c>
      <c r="J200" s="11">
        <v>0.27011205530314503</v>
      </c>
      <c r="K200" s="11">
        <v>30.597979144685119</v>
      </c>
      <c r="L200" s="11">
        <v>25.113544257186629</v>
      </c>
      <c r="M200" s="11">
        <v>85.251434402970759</v>
      </c>
    </row>
    <row r="201" spans="1:13" x14ac:dyDescent="0.25">
      <c r="A201" s="6">
        <v>12</v>
      </c>
      <c r="B201" s="6" t="s">
        <v>136</v>
      </c>
      <c r="C201" s="6" t="s">
        <v>300</v>
      </c>
      <c r="D201" s="6" t="s">
        <v>28</v>
      </c>
      <c r="E201" s="6" t="s">
        <v>29</v>
      </c>
      <c r="F201" s="6" t="s">
        <v>130</v>
      </c>
      <c r="G201" s="10">
        <v>0</v>
      </c>
      <c r="H201" s="10">
        <v>0.9969610105345994</v>
      </c>
      <c r="I201" s="10">
        <v>0.70531249288605091</v>
      </c>
      <c r="J201" s="10">
        <v>0</v>
      </c>
      <c r="K201" s="10">
        <v>41.444028126689659</v>
      </c>
      <c r="L201" s="10">
        <v>29.143387878980331</v>
      </c>
      <c r="M201" s="10">
        <v>64.401008346932969</v>
      </c>
    </row>
    <row r="202" spans="1:13" x14ac:dyDescent="0.25">
      <c r="A202" s="8">
        <v>12</v>
      </c>
      <c r="B202" s="8" t="s">
        <v>136</v>
      </c>
      <c r="C202" s="8" t="s">
        <v>301</v>
      </c>
      <c r="D202" s="8" t="s">
        <v>28</v>
      </c>
      <c r="E202" s="8" t="s">
        <v>29</v>
      </c>
      <c r="F202" s="8" t="s">
        <v>130</v>
      </c>
      <c r="G202" s="11">
        <v>0</v>
      </c>
      <c r="H202" s="11">
        <v>0.11699904226004509</v>
      </c>
      <c r="I202" s="11">
        <v>0.96438076555850782</v>
      </c>
      <c r="J202" s="11">
        <v>0.77930295991607568</v>
      </c>
      <c r="K202" s="11">
        <v>36.712209444916184</v>
      </c>
      <c r="L202" s="11">
        <v>25.040527354235781</v>
      </c>
      <c r="M202" s="11">
        <v>74.293641117732662</v>
      </c>
    </row>
    <row r="203" spans="1:13" x14ac:dyDescent="0.25">
      <c r="A203" s="6">
        <v>13</v>
      </c>
      <c r="B203" s="6" t="s">
        <v>141</v>
      </c>
      <c r="C203" s="6" t="s">
        <v>300</v>
      </c>
      <c r="D203" s="6" t="s">
        <v>28</v>
      </c>
      <c r="E203" s="6" t="s">
        <v>29</v>
      </c>
      <c r="F203" s="6" t="s">
        <v>130</v>
      </c>
      <c r="G203" s="10">
        <v>0</v>
      </c>
      <c r="H203" s="10">
        <v>0.5585488688475958</v>
      </c>
      <c r="I203" s="10">
        <v>1.1280191553248591</v>
      </c>
      <c r="J203" s="10">
        <v>0.85257026986061224</v>
      </c>
      <c r="K203" s="10">
        <v>43.558503820487473</v>
      </c>
      <c r="L203" s="10">
        <v>32.438943986672427</v>
      </c>
      <c r="M203" s="10">
        <v>66.332492528405481</v>
      </c>
    </row>
    <row r="204" spans="1:13" x14ac:dyDescent="0.25">
      <c r="A204" s="8">
        <v>13</v>
      </c>
      <c r="B204" s="8" t="s">
        <v>141</v>
      </c>
      <c r="C204" s="8" t="s">
        <v>301</v>
      </c>
      <c r="D204" s="8" t="s">
        <v>28</v>
      </c>
      <c r="E204" s="8" t="s">
        <v>29</v>
      </c>
      <c r="F204" s="8" t="s">
        <v>130</v>
      </c>
      <c r="G204" s="11">
        <v>0</v>
      </c>
      <c r="H204" s="11">
        <v>0.43407803900839542</v>
      </c>
      <c r="I204" s="11">
        <v>2.0574693428543021</v>
      </c>
      <c r="J204" s="11">
        <v>0.27011205530314503</v>
      </c>
      <c r="K204" s="11">
        <v>30.597979144685119</v>
      </c>
      <c r="L204" s="11">
        <v>25.113544257186629</v>
      </c>
      <c r="M204" s="11">
        <v>85.251487097446585</v>
      </c>
    </row>
    <row r="205" spans="1:13" x14ac:dyDescent="0.25">
      <c r="A205" s="6">
        <v>14</v>
      </c>
      <c r="B205" s="6" t="s">
        <v>144</v>
      </c>
      <c r="C205" s="6" t="s">
        <v>300</v>
      </c>
      <c r="D205" s="6" t="s">
        <v>28</v>
      </c>
      <c r="E205" s="6" t="s">
        <v>29</v>
      </c>
      <c r="F205" s="6" t="s">
        <v>130</v>
      </c>
      <c r="G205" s="10">
        <v>0</v>
      </c>
      <c r="H205" s="10">
        <v>1.156478673390982</v>
      </c>
      <c r="I205" s="10">
        <v>0.51635952825814069</v>
      </c>
      <c r="J205" s="10">
        <v>0.43943113160824449</v>
      </c>
      <c r="K205" s="10">
        <v>35.860322802540047</v>
      </c>
      <c r="L205" s="10">
        <v>24.93604446973648</v>
      </c>
      <c r="M205" s="10">
        <v>61.009959080237223</v>
      </c>
    </row>
    <row r="206" spans="1:13" x14ac:dyDescent="0.25">
      <c r="A206" s="8">
        <v>14</v>
      </c>
      <c r="B206" s="8" t="s">
        <v>144</v>
      </c>
      <c r="C206" s="8" t="s">
        <v>301</v>
      </c>
      <c r="D206" s="8" t="s">
        <v>28</v>
      </c>
      <c r="E206" s="8" t="s">
        <v>29</v>
      </c>
      <c r="F206" s="8" t="s">
        <v>130</v>
      </c>
      <c r="G206" s="11">
        <v>0</v>
      </c>
      <c r="H206" s="11">
        <v>0.1090721560237224</v>
      </c>
      <c r="I206" s="11">
        <v>0.83852134333277595</v>
      </c>
      <c r="J206" s="11">
        <v>0</v>
      </c>
      <c r="K206" s="11">
        <v>28.213201619757211</v>
      </c>
      <c r="L206" s="11">
        <v>20.93633895165053</v>
      </c>
      <c r="M206" s="11">
        <v>73.844802002142799</v>
      </c>
    </row>
    <row r="207" spans="1:13" x14ac:dyDescent="0.25">
      <c r="A207" s="6">
        <v>15</v>
      </c>
      <c r="B207" s="6" t="s">
        <v>150</v>
      </c>
      <c r="C207" s="6" t="s">
        <v>300</v>
      </c>
      <c r="D207" s="6" t="s">
        <v>28</v>
      </c>
      <c r="E207" s="6" t="s">
        <v>29</v>
      </c>
      <c r="F207" s="6" t="s">
        <v>130</v>
      </c>
      <c r="G207" s="10">
        <v>0</v>
      </c>
      <c r="H207" s="10">
        <v>0.52166162348455802</v>
      </c>
      <c r="I207" s="10">
        <v>0.55895774646599539</v>
      </c>
      <c r="J207" s="10">
        <v>0.35482326921949731</v>
      </c>
      <c r="K207" s="10">
        <v>43.320905108620543</v>
      </c>
      <c r="L207" s="10">
        <v>28.28601681705657</v>
      </c>
      <c r="M207" s="10">
        <v>70.673195048294886</v>
      </c>
    </row>
    <row r="208" spans="1:13" x14ac:dyDescent="0.25">
      <c r="A208" s="8">
        <v>15</v>
      </c>
      <c r="B208" s="8" t="s">
        <v>150</v>
      </c>
      <c r="C208" s="8" t="s">
        <v>301</v>
      </c>
      <c r="D208" s="8" t="s">
        <v>28</v>
      </c>
      <c r="E208" s="8" t="s">
        <v>29</v>
      </c>
      <c r="F208" s="8" t="s">
        <v>130</v>
      </c>
      <c r="G208" s="11">
        <v>0</v>
      </c>
      <c r="H208" s="11">
        <v>0.43407803900839542</v>
      </c>
      <c r="I208" s="11">
        <v>2.0373023196522468</v>
      </c>
      <c r="J208" s="11">
        <v>0.27011205530314503</v>
      </c>
      <c r="K208" s="11">
        <v>30.597979144685119</v>
      </c>
      <c r="L208" s="11">
        <v>25.113544257186629</v>
      </c>
      <c r="M208" s="11">
        <v>85.249995172615314</v>
      </c>
    </row>
    <row r="209" spans="1:13" x14ac:dyDescent="0.25">
      <c r="A209" s="6">
        <v>16</v>
      </c>
      <c r="B209" s="6" t="s">
        <v>153</v>
      </c>
      <c r="C209" s="6" t="s">
        <v>300</v>
      </c>
      <c r="D209" s="6" t="s">
        <v>28</v>
      </c>
      <c r="E209" s="6" t="s">
        <v>29</v>
      </c>
      <c r="F209" s="6" t="s">
        <v>130</v>
      </c>
      <c r="G209" s="10">
        <v>0</v>
      </c>
      <c r="H209" s="10">
        <v>1.349334550099321</v>
      </c>
      <c r="I209" s="10">
        <v>0.85626343374075942</v>
      </c>
      <c r="J209" s="10">
        <v>0.6700482500107362</v>
      </c>
      <c r="K209" s="10">
        <v>44.025744768194123</v>
      </c>
      <c r="L209" s="10">
        <v>31.17572674470658</v>
      </c>
      <c r="M209" s="10">
        <v>74.16217403535677</v>
      </c>
    </row>
    <row r="210" spans="1:13" x14ac:dyDescent="0.25">
      <c r="A210" s="8">
        <v>16</v>
      </c>
      <c r="B210" s="8" t="s">
        <v>153</v>
      </c>
      <c r="C210" s="8" t="s">
        <v>301</v>
      </c>
      <c r="D210" s="8" t="s">
        <v>28</v>
      </c>
      <c r="E210" s="8" t="s">
        <v>29</v>
      </c>
      <c r="F210" s="8" t="s">
        <v>130</v>
      </c>
      <c r="G210" s="11">
        <v>0</v>
      </c>
      <c r="H210" s="11">
        <v>0.32294108699012902</v>
      </c>
      <c r="I210" s="11">
        <v>0.5256426997626461</v>
      </c>
      <c r="J210" s="11">
        <v>1.2222826160609359</v>
      </c>
      <c r="K210" s="11">
        <v>30.18268163700424</v>
      </c>
      <c r="L210" s="11">
        <v>24.79776882222491</v>
      </c>
      <c r="M210" s="11">
        <v>96.896273385660237</v>
      </c>
    </row>
    <row r="211" spans="1:13" x14ac:dyDescent="0.25">
      <c r="A211" s="6">
        <v>17</v>
      </c>
      <c r="B211" s="6" t="s">
        <v>158</v>
      </c>
      <c r="C211" s="6" t="s">
        <v>300</v>
      </c>
      <c r="D211" s="6" t="s">
        <v>28</v>
      </c>
      <c r="E211" s="6" t="s">
        <v>29</v>
      </c>
      <c r="F211" s="6" t="s">
        <v>130</v>
      </c>
      <c r="G211" s="10">
        <v>0</v>
      </c>
      <c r="H211" s="10">
        <v>0.1862366457606098</v>
      </c>
      <c r="I211" s="10">
        <v>0.28644165794522208</v>
      </c>
      <c r="J211" s="10">
        <v>0.30638082516478932</v>
      </c>
      <c r="K211" s="10">
        <v>51.040210715733267</v>
      </c>
      <c r="L211" s="10">
        <v>36.752369717980088</v>
      </c>
      <c r="M211" s="10">
        <v>57.027122505769483</v>
      </c>
    </row>
    <row r="212" spans="1:13" x14ac:dyDescent="0.25">
      <c r="A212" s="8">
        <v>17</v>
      </c>
      <c r="B212" s="8" t="s">
        <v>158</v>
      </c>
      <c r="C212" s="8" t="s">
        <v>301</v>
      </c>
      <c r="D212" s="8" t="s">
        <v>28</v>
      </c>
      <c r="E212" s="8" t="s">
        <v>29</v>
      </c>
      <c r="F212" s="8" t="s">
        <v>130</v>
      </c>
      <c r="G212" s="11">
        <v>0</v>
      </c>
      <c r="H212" s="11">
        <v>0.43407803900839542</v>
      </c>
      <c r="I212" s="11">
        <v>2.031482381418694</v>
      </c>
      <c r="J212" s="11">
        <v>0.27011205530314503</v>
      </c>
      <c r="K212" s="11">
        <v>30.597979144685119</v>
      </c>
      <c r="L212" s="11">
        <v>25.113544257186629</v>
      </c>
      <c r="M212" s="11">
        <v>85.372241243471635</v>
      </c>
    </row>
    <row r="213" spans="1:13" x14ac:dyDescent="0.25">
      <c r="A213" s="6">
        <v>18</v>
      </c>
      <c r="B213" s="6" t="s">
        <v>162</v>
      </c>
      <c r="C213" s="6" t="s">
        <v>300</v>
      </c>
      <c r="D213" s="6" t="s">
        <v>28</v>
      </c>
      <c r="E213" s="6" t="s">
        <v>29</v>
      </c>
      <c r="F213" s="6" t="s">
        <v>96</v>
      </c>
      <c r="G213" s="10">
        <v>0</v>
      </c>
      <c r="H213" s="10">
        <v>0.38306581509713777</v>
      </c>
      <c r="I213" s="10">
        <v>2.078327234216284</v>
      </c>
      <c r="J213" s="10">
        <v>0.20461421027387261</v>
      </c>
      <c r="K213" s="10">
        <v>36.808470594235978</v>
      </c>
      <c r="L213" s="10">
        <v>24.895439135578741</v>
      </c>
      <c r="M213" s="10">
        <v>77.229137978621239</v>
      </c>
    </row>
    <row r="214" spans="1:13" x14ac:dyDescent="0.25">
      <c r="A214" s="8">
        <v>18</v>
      </c>
      <c r="B214" s="8" t="s">
        <v>162</v>
      </c>
      <c r="C214" s="8" t="s">
        <v>301</v>
      </c>
      <c r="D214" s="8" t="s">
        <v>28</v>
      </c>
      <c r="E214" s="8" t="s">
        <v>29</v>
      </c>
      <c r="F214" s="8" t="s">
        <v>96</v>
      </c>
      <c r="G214" s="11">
        <v>0</v>
      </c>
      <c r="H214" s="11">
        <v>0.22156090055420241</v>
      </c>
      <c r="I214" s="11">
        <v>0</v>
      </c>
      <c r="J214" s="11">
        <v>0.11647473715777031</v>
      </c>
      <c r="K214" s="11">
        <v>21.52025885865341</v>
      </c>
      <c r="L214" s="11">
        <v>17.069852156212249</v>
      </c>
      <c r="M214" s="11">
        <v>102.738159054381</v>
      </c>
    </row>
    <row r="215" spans="1:13" x14ac:dyDescent="0.25">
      <c r="A215" s="6">
        <v>19</v>
      </c>
      <c r="B215" s="6" t="s">
        <v>165</v>
      </c>
      <c r="C215" s="6" t="s">
        <v>300</v>
      </c>
      <c r="D215" s="6" t="s">
        <v>28</v>
      </c>
      <c r="E215" s="6" t="s">
        <v>29</v>
      </c>
      <c r="F215" s="6" t="s">
        <v>96</v>
      </c>
      <c r="G215" s="10">
        <v>0</v>
      </c>
      <c r="H215" s="10">
        <v>0.38306581509713777</v>
      </c>
      <c r="I215" s="10">
        <v>2.1897722900283969</v>
      </c>
      <c r="J215" s="10">
        <v>0.27392076034226231</v>
      </c>
      <c r="K215" s="10">
        <v>38.075352356880842</v>
      </c>
      <c r="L215" s="10">
        <v>25.722958107605791</v>
      </c>
      <c r="M215" s="10">
        <v>79.472710896771332</v>
      </c>
    </row>
    <row r="216" spans="1:13" x14ac:dyDescent="0.25">
      <c r="A216" s="8">
        <v>19</v>
      </c>
      <c r="B216" s="8" t="s">
        <v>165</v>
      </c>
      <c r="C216" s="8" t="s">
        <v>301</v>
      </c>
      <c r="D216" s="8" t="s">
        <v>28</v>
      </c>
      <c r="E216" s="8" t="s">
        <v>29</v>
      </c>
      <c r="F216" s="8" t="s">
        <v>96</v>
      </c>
      <c r="G216" s="11">
        <v>0</v>
      </c>
      <c r="H216" s="11">
        <v>0.57197412560405814</v>
      </c>
      <c r="I216" s="11">
        <v>0.55256306869115623</v>
      </c>
      <c r="J216" s="11">
        <v>1.033360466311896</v>
      </c>
      <c r="K216" s="11">
        <v>27.609909695058061</v>
      </c>
      <c r="L216" s="11">
        <v>19.892928271907479</v>
      </c>
      <c r="M216" s="11">
        <v>96.565811989808935</v>
      </c>
    </row>
    <row r="217" spans="1:13" x14ac:dyDescent="0.25">
      <c r="A217" s="6">
        <v>20</v>
      </c>
      <c r="B217" s="6" t="s">
        <v>168</v>
      </c>
      <c r="C217" s="6" t="s">
        <v>300</v>
      </c>
      <c r="D217" s="6" t="s">
        <v>28</v>
      </c>
      <c r="E217" s="6" t="s">
        <v>29</v>
      </c>
      <c r="F217" s="6" t="s">
        <v>96</v>
      </c>
      <c r="G217" s="10">
        <v>0</v>
      </c>
      <c r="H217" s="10">
        <v>0.25917593164792052</v>
      </c>
      <c r="I217" s="10">
        <v>0.71970849070423348</v>
      </c>
      <c r="J217" s="10">
        <v>0</v>
      </c>
      <c r="K217" s="10">
        <v>36.700109732675372</v>
      </c>
      <c r="L217" s="10">
        <v>27.29337511764809</v>
      </c>
      <c r="M217" s="10">
        <v>76.745440672119003</v>
      </c>
    </row>
    <row r="218" spans="1:13" x14ac:dyDescent="0.25">
      <c r="A218" s="8">
        <v>20</v>
      </c>
      <c r="B218" s="8" t="s">
        <v>168</v>
      </c>
      <c r="C218" s="8" t="s">
        <v>301</v>
      </c>
      <c r="D218" s="8" t="s">
        <v>28</v>
      </c>
      <c r="E218" s="8" t="s">
        <v>29</v>
      </c>
      <c r="F218" s="8" t="s">
        <v>96</v>
      </c>
      <c r="G218" s="11">
        <v>0</v>
      </c>
      <c r="H218" s="11">
        <v>0.22156090055420241</v>
      </c>
      <c r="I218" s="11">
        <v>0</v>
      </c>
      <c r="J218" s="11">
        <v>0.11647473715777031</v>
      </c>
      <c r="K218" s="11">
        <v>21.563271544616299</v>
      </c>
      <c r="L218" s="11">
        <v>17.074263189728988</v>
      </c>
      <c r="M218" s="11">
        <v>102.738159054381</v>
      </c>
    </row>
    <row r="219" spans="1:13" x14ac:dyDescent="0.25">
      <c r="A219" s="6">
        <v>21</v>
      </c>
      <c r="B219" s="6" t="s">
        <v>171</v>
      </c>
      <c r="C219" s="6" t="s">
        <v>300</v>
      </c>
      <c r="D219" s="6" t="s">
        <v>28</v>
      </c>
      <c r="E219" s="6" t="s">
        <v>29</v>
      </c>
      <c r="F219" s="6" t="s">
        <v>96</v>
      </c>
      <c r="G219" s="10">
        <v>0</v>
      </c>
      <c r="H219" s="10">
        <v>0.38306581509713777</v>
      </c>
      <c r="I219" s="10">
        <v>2.3834357776949719</v>
      </c>
      <c r="J219" s="10">
        <v>0.20461421027387261</v>
      </c>
      <c r="K219" s="10">
        <v>40.286147423309231</v>
      </c>
      <c r="L219" s="10">
        <v>27.901828734973211</v>
      </c>
      <c r="M219" s="10">
        <v>82.42120168353226</v>
      </c>
    </row>
    <row r="220" spans="1:13" x14ac:dyDescent="0.25">
      <c r="A220" s="8">
        <v>21</v>
      </c>
      <c r="B220" s="8" t="s">
        <v>171</v>
      </c>
      <c r="C220" s="8" t="s">
        <v>301</v>
      </c>
      <c r="D220" s="8" t="s">
        <v>28</v>
      </c>
      <c r="E220" s="8" t="s">
        <v>29</v>
      </c>
      <c r="F220" s="8" t="s">
        <v>96</v>
      </c>
      <c r="G220" s="11">
        <v>0</v>
      </c>
      <c r="H220" s="11">
        <v>0.65269298090049266</v>
      </c>
      <c r="I220" s="11">
        <v>1.4671353884529701</v>
      </c>
      <c r="J220" s="11">
        <v>1.3169091629820999</v>
      </c>
      <c r="K220" s="11">
        <v>32.226640796549887</v>
      </c>
      <c r="L220" s="11">
        <v>24.26414905968165</v>
      </c>
      <c r="M220" s="11">
        <v>93.660508823399397</v>
      </c>
    </row>
    <row r="221" spans="1:13" x14ac:dyDescent="0.25">
      <c r="A221" s="6">
        <v>22</v>
      </c>
      <c r="B221" s="6" t="s">
        <v>173</v>
      </c>
      <c r="C221" s="6" t="s">
        <v>300</v>
      </c>
      <c r="D221" s="6" t="s">
        <v>28</v>
      </c>
      <c r="E221" s="6" t="s">
        <v>29</v>
      </c>
      <c r="F221" s="6" t="s">
        <v>96</v>
      </c>
      <c r="G221" s="10">
        <v>0</v>
      </c>
      <c r="H221" s="10">
        <v>0.48442489010916312</v>
      </c>
      <c r="I221" s="10">
        <v>0.3753728936893338</v>
      </c>
      <c r="J221" s="10">
        <v>0.18567692695020599</v>
      </c>
      <c r="K221" s="10">
        <v>43.705091986944623</v>
      </c>
      <c r="L221" s="10">
        <v>31.31100557837641</v>
      </c>
      <c r="M221" s="10">
        <v>65.770164610094071</v>
      </c>
    </row>
    <row r="222" spans="1:13" x14ac:dyDescent="0.25">
      <c r="A222" s="8">
        <v>22</v>
      </c>
      <c r="B222" s="8" t="s">
        <v>173</v>
      </c>
      <c r="C222" s="8" t="s">
        <v>301</v>
      </c>
      <c r="D222" s="8" t="s">
        <v>28</v>
      </c>
      <c r="E222" s="8" t="s">
        <v>29</v>
      </c>
      <c r="F222" s="8" t="s">
        <v>96</v>
      </c>
      <c r="G222" s="11">
        <v>0</v>
      </c>
      <c r="H222" s="11">
        <v>0.22156090055420241</v>
      </c>
      <c r="I222" s="11">
        <v>0</v>
      </c>
      <c r="J222" s="11">
        <v>0.11647473715777031</v>
      </c>
      <c r="K222" s="11">
        <v>21.5665214603954</v>
      </c>
      <c r="L222" s="11">
        <v>17.030681899116161</v>
      </c>
      <c r="M222" s="11">
        <v>102.738159054381</v>
      </c>
    </row>
    <row r="223" spans="1:13" x14ac:dyDescent="0.25">
      <c r="A223" s="6">
        <v>23</v>
      </c>
      <c r="B223" s="6" t="s">
        <v>176</v>
      </c>
      <c r="C223" s="6" t="s">
        <v>300</v>
      </c>
      <c r="D223" s="6" t="s">
        <v>28</v>
      </c>
      <c r="E223" s="6" t="s">
        <v>29</v>
      </c>
      <c r="F223" s="6" t="s">
        <v>130</v>
      </c>
      <c r="G223" s="10">
        <v>0</v>
      </c>
      <c r="H223" s="10">
        <v>0.34290254186703961</v>
      </c>
      <c r="I223" s="10">
        <v>1.0454776733830049</v>
      </c>
      <c r="J223" s="10">
        <v>0.40432001006129498</v>
      </c>
      <c r="K223" s="10">
        <v>41.471081570571563</v>
      </c>
      <c r="L223" s="10">
        <v>30.614880435193118</v>
      </c>
      <c r="M223" s="10">
        <v>63.969189047693213</v>
      </c>
    </row>
    <row r="224" spans="1:13" x14ac:dyDescent="0.25">
      <c r="A224" s="8">
        <v>23</v>
      </c>
      <c r="B224" s="8" t="s">
        <v>176</v>
      </c>
      <c r="C224" s="8" t="s">
        <v>301</v>
      </c>
      <c r="D224" s="8" t="s">
        <v>28</v>
      </c>
      <c r="E224" s="8" t="s">
        <v>29</v>
      </c>
      <c r="F224" s="8" t="s">
        <v>130</v>
      </c>
      <c r="G224" s="11">
        <v>0</v>
      </c>
      <c r="H224" s="11">
        <v>0.11699904226004509</v>
      </c>
      <c r="I224" s="11">
        <v>0.98289890323061291</v>
      </c>
      <c r="J224" s="11">
        <v>0.76496157447860036</v>
      </c>
      <c r="K224" s="11">
        <v>36.712209444916184</v>
      </c>
      <c r="L224" s="11">
        <v>25.040527354235781</v>
      </c>
      <c r="M224" s="11">
        <v>74.293641117732662</v>
      </c>
    </row>
    <row r="225" spans="1:13" x14ac:dyDescent="0.25">
      <c r="A225" s="6">
        <v>24</v>
      </c>
      <c r="B225" s="6" t="s">
        <v>178</v>
      </c>
      <c r="C225" s="6" t="s">
        <v>300</v>
      </c>
      <c r="D225" s="6" t="s">
        <v>28</v>
      </c>
      <c r="E225" s="6" t="s">
        <v>29</v>
      </c>
      <c r="F225" s="6" t="s">
        <v>130</v>
      </c>
      <c r="G225" s="10">
        <v>0</v>
      </c>
      <c r="H225" s="10">
        <v>0.43287959154678851</v>
      </c>
      <c r="I225" s="10">
        <v>0.5147545761381157</v>
      </c>
      <c r="J225" s="10">
        <v>0.73819242016004771</v>
      </c>
      <c r="K225" s="10">
        <v>38.040822350023817</v>
      </c>
      <c r="L225" s="10">
        <v>28.349735048175351</v>
      </c>
      <c r="M225" s="10">
        <v>56.945127768261933</v>
      </c>
    </row>
    <row r="226" spans="1:13" x14ac:dyDescent="0.25">
      <c r="A226" s="8">
        <v>24</v>
      </c>
      <c r="B226" s="8" t="s">
        <v>178</v>
      </c>
      <c r="C226" s="8" t="s">
        <v>301</v>
      </c>
      <c r="D226" s="8" t="s">
        <v>28</v>
      </c>
      <c r="E226" s="8" t="s">
        <v>29</v>
      </c>
      <c r="F226" s="8" t="s">
        <v>130</v>
      </c>
      <c r="G226" s="11">
        <v>0</v>
      </c>
      <c r="H226" s="11">
        <v>0.1090721560237224</v>
      </c>
      <c r="I226" s="11">
        <v>0.87722495457012495</v>
      </c>
      <c r="J226" s="11">
        <v>0</v>
      </c>
      <c r="K226" s="11">
        <v>28.213201619757211</v>
      </c>
      <c r="L226" s="11">
        <v>20.93633895165053</v>
      </c>
      <c r="M226" s="11">
        <v>73.751298912570178</v>
      </c>
    </row>
    <row r="227" spans="1:13" x14ac:dyDescent="0.25">
      <c r="A227" s="6">
        <v>25</v>
      </c>
      <c r="B227" s="6" t="s">
        <v>181</v>
      </c>
      <c r="C227" s="6" t="s">
        <v>300</v>
      </c>
      <c r="D227" s="6" t="s">
        <v>28</v>
      </c>
      <c r="E227" s="6" t="s">
        <v>29</v>
      </c>
      <c r="F227" s="6" t="s">
        <v>130</v>
      </c>
      <c r="G227" s="10">
        <v>0</v>
      </c>
      <c r="H227" s="10">
        <v>0.19263724537963819</v>
      </c>
      <c r="I227" s="10">
        <v>0.55895774646599539</v>
      </c>
      <c r="J227" s="10">
        <v>0.1091649650425091</v>
      </c>
      <c r="K227" s="10">
        <v>41.384212685216482</v>
      </c>
      <c r="L227" s="10">
        <v>26.988321053442991</v>
      </c>
      <c r="M227" s="10">
        <v>67.483594884180178</v>
      </c>
    </row>
    <row r="228" spans="1:13" x14ac:dyDescent="0.25">
      <c r="A228" s="8">
        <v>25</v>
      </c>
      <c r="B228" s="8" t="s">
        <v>181</v>
      </c>
      <c r="C228" s="8" t="s">
        <v>301</v>
      </c>
      <c r="D228" s="8" t="s">
        <v>28</v>
      </c>
      <c r="E228" s="8" t="s">
        <v>29</v>
      </c>
      <c r="F228" s="8" t="s">
        <v>130</v>
      </c>
      <c r="G228" s="11">
        <v>0</v>
      </c>
      <c r="H228" s="11">
        <v>0.11699904226004509</v>
      </c>
      <c r="I228" s="11">
        <v>0.96270223906633912</v>
      </c>
      <c r="J228" s="11">
        <v>0.78217538796692843</v>
      </c>
      <c r="K228" s="11">
        <v>36.712209444916184</v>
      </c>
      <c r="L228" s="11">
        <v>25.040527354235781</v>
      </c>
      <c r="M228" s="11">
        <v>74.293641117732662</v>
      </c>
    </row>
    <row r="229" spans="1:13" x14ac:dyDescent="0.25">
      <c r="A229" s="6">
        <v>26</v>
      </c>
      <c r="B229" s="6" t="s">
        <v>183</v>
      </c>
      <c r="C229" s="6" t="s">
        <v>300</v>
      </c>
      <c r="D229" s="6" t="s">
        <v>28</v>
      </c>
      <c r="E229" s="6" t="s">
        <v>29</v>
      </c>
      <c r="F229" s="6" t="s">
        <v>130</v>
      </c>
      <c r="G229" s="10">
        <v>0</v>
      </c>
      <c r="H229" s="10">
        <v>0.5585488688475958</v>
      </c>
      <c r="I229" s="10">
        <v>1.3470620501331301</v>
      </c>
      <c r="J229" s="10">
        <v>1.1588950583343161</v>
      </c>
      <c r="K229" s="10">
        <v>45.26405758465819</v>
      </c>
      <c r="L229" s="10">
        <v>33.585180420899938</v>
      </c>
      <c r="M229" s="10">
        <v>71.459183582966247</v>
      </c>
    </row>
    <row r="230" spans="1:13" x14ac:dyDescent="0.25">
      <c r="A230" s="8">
        <v>26</v>
      </c>
      <c r="B230" s="8" t="s">
        <v>183</v>
      </c>
      <c r="C230" s="8" t="s">
        <v>301</v>
      </c>
      <c r="D230" s="8" t="s">
        <v>28</v>
      </c>
      <c r="E230" s="8" t="s">
        <v>29</v>
      </c>
      <c r="F230" s="8" t="s">
        <v>130</v>
      </c>
      <c r="G230" s="11">
        <v>0</v>
      </c>
      <c r="H230" s="11">
        <v>0.34145817954491431</v>
      </c>
      <c r="I230" s="11">
        <v>0.5256426997626461</v>
      </c>
      <c r="J230" s="11">
        <v>1.2222826160609359</v>
      </c>
      <c r="K230" s="11">
        <v>30.18268163700424</v>
      </c>
      <c r="L230" s="11">
        <v>24.888619369878651</v>
      </c>
      <c r="M230" s="11">
        <v>96.902750674201656</v>
      </c>
    </row>
    <row r="231" spans="1:13" x14ac:dyDescent="0.25">
      <c r="A231" s="6">
        <v>27</v>
      </c>
      <c r="B231" s="6" t="s">
        <v>186</v>
      </c>
      <c r="C231" s="6" t="s">
        <v>300</v>
      </c>
      <c r="D231" s="6" t="s">
        <v>28</v>
      </c>
      <c r="E231" s="6" t="s">
        <v>29</v>
      </c>
      <c r="F231" s="6" t="s">
        <v>130</v>
      </c>
      <c r="G231" s="10">
        <v>0</v>
      </c>
      <c r="H231" s="10">
        <v>0.1769495542483206</v>
      </c>
      <c r="I231" s="10">
        <v>0.28644165794522208</v>
      </c>
      <c r="J231" s="10">
        <v>0.23768555241039721</v>
      </c>
      <c r="K231" s="10">
        <v>48.513466786391881</v>
      </c>
      <c r="L231" s="10">
        <v>34.664168060301797</v>
      </c>
      <c r="M231" s="10">
        <v>54.415752988771978</v>
      </c>
    </row>
    <row r="232" spans="1:13" x14ac:dyDescent="0.25">
      <c r="A232" s="8">
        <v>27</v>
      </c>
      <c r="B232" s="8" t="s">
        <v>186</v>
      </c>
      <c r="C232" s="8" t="s">
        <v>301</v>
      </c>
      <c r="D232" s="8" t="s">
        <v>28</v>
      </c>
      <c r="E232" s="8" t="s">
        <v>29</v>
      </c>
      <c r="F232" s="8" t="s">
        <v>130</v>
      </c>
      <c r="G232" s="11">
        <v>0</v>
      </c>
      <c r="H232" s="11">
        <v>0.11699904226004509</v>
      </c>
      <c r="I232" s="11">
        <v>0.95688081818818838</v>
      </c>
      <c r="J232" s="11">
        <v>0.74908888986193567</v>
      </c>
      <c r="K232" s="11">
        <v>36.712209444916184</v>
      </c>
      <c r="L232" s="11">
        <v>25.040527354235781</v>
      </c>
      <c r="M232" s="11">
        <v>74.293641117732662</v>
      </c>
    </row>
    <row r="233" spans="1:13" x14ac:dyDescent="0.25">
      <c r="A233" s="6">
        <v>28</v>
      </c>
      <c r="B233" s="6" t="s">
        <v>188</v>
      </c>
      <c r="C233" s="6" t="s">
        <v>300</v>
      </c>
      <c r="D233" s="6" t="s">
        <v>28</v>
      </c>
      <c r="E233" s="6" t="s">
        <v>29</v>
      </c>
      <c r="F233" s="6" t="s">
        <v>96</v>
      </c>
      <c r="G233" s="10">
        <v>0</v>
      </c>
      <c r="H233" s="10">
        <v>0.25917593164792052</v>
      </c>
      <c r="I233" s="10">
        <v>0.70863313939923567</v>
      </c>
      <c r="J233" s="10">
        <v>0</v>
      </c>
      <c r="K233" s="10">
        <v>37.603304668082593</v>
      </c>
      <c r="L233" s="10">
        <v>27.74280476419689</v>
      </c>
      <c r="M233" s="10">
        <v>79.592523770954102</v>
      </c>
    </row>
    <row r="234" spans="1:13" x14ac:dyDescent="0.25">
      <c r="A234" s="8">
        <v>28</v>
      </c>
      <c r="B234" s="8" t="s">
        <v>188</v>
      </c>
      <c r="C234" s="8" t="s">
        <v>301</v>
      </c>
      <c r="D234" s="8" t="s">
        <v>28</v>
      </c>
      <c r="E234" s="8" t="s">
        <v>29</v>
      </c>
      <c r="F234" s="8" t="s">
        <v>96</v>
      </c>
      <c r="G234" s="11">
        <v>0</v>
      </c>
      <c r="H234" s="11">
        <v>0.54905123843358739</v>
      </c>
      <c r="I234" s="11">
        <v>0.55256306869115623</v>
      </c>
      <c r="J234" s="11">
        <v>0.82406643556007364</v>
      </c>
      <c r="K234" s="11">
        <v>27.609909695058061</v>
      </c>
      <c r="L234" s="11">
        <v>19.892928271907479</v>
      </c>
      <c r="M234" s="11">
        <v>96.565811989808935</v>
      </c>
    </row>
    <row r="235" spans="1:13" x14ac:dyDescent="0.25">
      <c r="A235" s="6">
        <v>29</v>
      </c>
      <c r="B235" s="6" t="s">
        <v>192</v>
      </c>
      <c r="C235" s="6" t="s">
        <v>300</v>
      </c>
      <c r="D235" s="6" t="s">
        <v>28</v>
      </c>
      <c r="E235" s="6" t="s">
        <v>29</v>
      </c>
      <c r="F235" s="6" t="s">
        <v>96</v>
      </c>
      <c r="G235" s="10">
        <v>0</v>
      </c>
      <c r="H235" s="10">
        <v>0.37366038708160421</v>
      </c>
      <c r="I235" s="10">
        <v>0.81249600997082738</v>
      </c>
      <c r="J235" s="10">
        <v>0</v>
      </c>
      <c r="K235" s="10">
        <v>37.762458193898382</v>
      </c>
      <c r="L235" s="10">
        <v>27.857434291214389</v>
      </c>
      <c r="M235" s="10">
        <v>81.812407450945699</v>
      </c>
    </row>
    <row r="236" spans="1:13" x14ac:dyDescent="0.25">
      <c r="A236" s="8">
        <v>29</v>
      </c>
      <c r="B236" s="8" t="s">
        <v>192</v>
      </c>
      <c r="C236" s="8" t="s">
        <v>301</v>
      </c>
      <c r="D236" s="8" t="s">
        <v>28</v>
      </c>
      <c r="E236" s="8" t="s">
        <v>29</v>
      </c>
      <c r="F236" s="8" t="s">
        <v>96</v>
      </c>
      <c r="G236" s="11">
        <v>0</v>
      </c>
      <c r="H236" s="11">
        <v>0.65269298090049266</v>
      </c>
      <c r="I236" s="11">
        <v>1.2528480982183561</v>
      </c>
      <c r="J236" s="11">
        <v>1.149895932972568</v>
      </c>
      <c r="K236" s="11">
        <v>30.80621122533811</v>
      </c>
      <c r="L236" s="11">
        <v>23.37216669639708</v>
      </c>
      <c r="M236" s="11">
        <v>91.318408228731826</v>
      </c>
    </row>
    <row r="237" spans="1:13" x14ac:dyDescent="0.25">
      <c r="A237" s="6">
        <v>30</v>
      </c>
      <c r="B237" s="6" t="s">
        <v>194</v>
      </c>
      <c r="C237" s="6" t="s">
        <v>300</v>
      </c>
      <c r="D237" s="6" t="s">
        <v>28</v>
      </c>
      <c r="E237" s="6" t="s">
        <v>29</v>
      </c>
      <c r="F237" s="6" t="s">
        <v>96</v>
      </c>
      <c r="G237" s="10">
        <v>0</v>
      </c>
      <c r="H237" s="10">
        <v>0.69927270070112768</v>
      </c>
      <c r="I237" s="10">
        <v>0.46628567792614323</v>
      </c>
      <c r="J237" s="10">
        <v>0.25148530388149032</v>
      </c>
      <c r="K237" s="10">
        <v>44.949249206480651</v>
      </c>
      <c r="L237" s="10">
        <v>32.631645338813911</v>
      </c>
      <c r="M237" s="10">
        <v>66.979394276202214</v>
      </c>
    </row>
    <row r="238" spans="1:13" x14ac:dyDescent="0.25">
      <c r="A238" s="8">
        <v>30</v>
      </c>
      <c r="B238" s="8" t="s">
        <v>194</v>
      </c>
      <c r="C238" s="8" t="s">
        <v>301</v>
      </c>
      <c r="D238" s="8" t="s">
        <v>28</v>
      </c>
      <c r="E238" s="8" t="s">
        <v>29</v>
      </c>
      <c r="F238" s="8" t="s">
        <v>96</v>
      </c>
      <c r="G238" s="11">
        <v>0</v>
      </c>
      <c r="H238" s="11">
        <v>0.57528410887100834</v>
      </c>
      <c r="I238" s="11">
        <v>0.55256306869115623</v>
      </c>
      <c r="J238" s="11">
        <v>0.6833899734934139</v>
      </c>
      <c r="K238" s="11">
        <v>27.609909695058061</v>
      </c>
      <c r="L238" s="11">
        <v>19.892928271907479</v>
      </c>
      <c r="M238" s="11">
        <v>96.5752612810128</v>
      </c>
    </row>
    <row r="239" spans="1:13" x14ac:dyDescent="0.25">
      <c r="A239" s="6">
        <v>31</v>
      </c>
      <c r="B239" s="6" t="s">
        <v>198</v>
      </c>
      <c r="C239" s="6" t="s">
        <v>300</v>
      </c>
      <c r="D239" s="6" t="s">
        <v>28</v>
      </c>
      <c r="E239" s="6" t="s">
        <v>29</v>
      </c>
      <c r="F239" s="6" t="s">
        <v>130</v>
      </c>
      <c r="G239" s="10">
        <v>0</v>
      </c>
      <c r="H239" s="10">
        <v>0.42983924609536989</v>
      </c>
      <c r="I239" s="10">
        <v>5.8482869291778893E-2</v>
      </c>
      <c r="J239" s="10">
        <v>0.35482326921949731</v>
      </c>
      <c r="K239" s="10">
        <v>37.109061687706358</v>
      </c>
      <c r="L239" s="10">
        <v>23.384143051110669</v>
      </c>
      <c r="M239" s="10">
        <v>62.656294523540041</v>
      </c>
    </row>
    <row r="240" spans="1:13" x14ac:dyDescent="0.25">
      <c r="A240" s="8">
        <v>31</v>
      </c>
      <c r="B240" s="8" t="s">
        <v>198</v>
      </c>
      <c r="C240" s="8" t="s">
        <v>301</v>
      </c>
      <c r="D240" s="8" t="s">
        <v>28</v>
      </c>
      <c r="E240" s="8" t="s">
        <v>29</v>
      </c>
      <c r="F240" s="8" t="s">
        <v>130</v>
      </c>
      <c r="G240" s="11">
        <v>0</v>
      </c>
      <c r="H240" s="11">
        <v>0.1090721560237224</v>
      </c>
      <c r="I240" s="11">
        <v>0.87783172684814326</v>
      </c>
      <c r="J240" s="11">
        <v>0</v>
      </c>
      <c r="K240" s="11">
        <v>28.213201619757211</v>
      </c>
      <c r="L240" s="11">
        <v>20.93633895165053</v>
      </c>
      <c r="M240" s="11">
        <v>73.843830613428992</v>
      </c>
    </row>
    <row r="241" spans="1:13" x14ac:dyDescent="0.25">
      <c r="A241" s="6">
        <v>32</v>
      </c>
      <c r="B241" s="6" t="s">
        <v>201</v>
      </c>
      <c r="C241" s="6" t="s">
        <v>300</v>
      </c>
      <c r="D241" s="6" t="s">
        <v>28</v>
      </c>
      <c r="E241" s="6" t="s">
        <v>35</v>
      </c>
      <c r="F241" s="6" t="s">
        <v>76</v>
      </c>
      <c r="G241" s="10">
        <v>0.14191087104532421</v>
      </c>
      <c r="H241" s="10">
        <v>1.601243883509142</v>
      </c>
      <c r="I241" s="10">
        <v>0</v>
      </c>
      <c r="J241" s="10">
        <v>0.2289474824354939</v>
      </c>
      <c r="K241" s="10">
        <v>60.390008783948808</v>
      </c>
      <c r="L241" s="10">
        <v>48.618346688203523</v>
      </c>
      <c r="M241" s="10">
        <v>213.8473891466835</v>
      </c>
    </row>
    <row r="242" spans="1:13" x14ac:dyDescent="0.25">
      <c r="A242" s="8">
        <v>32</v>
      </c>
      <c r="B242" s="8" t="s">
        <v>201</v>
      </c>
      <c r="C242" s="8" t="s">
        <v>301</v>
      </c>
      <c r="D242" s="8" t="s">
        <v>28</v>
      </c>
      <c r="E242" s="8" t="s">
        <v>35</v>
      </c>
      <c r="F242" s="8" t="s">
        <v>76</v>
      </c>
      <c r="G242" s="11">
        <v>0</v>
      </c>
      <c r="H242" s="11">
        <v>0.2136487015115684</v>
      </c>
      <c r="I242" s="11">
        <v>0</v>
      </c>
      <c r="J242" s="11">
        <v>0.30731281945969252</v>
      </c>
      <c r="K242" s="11">
        <v>59.158885604214703</v>
      </c>
      <c r="L242" s="11">
        <v>41.619295306483529</v>
      </c>
      <c r="M242" s="11">
        <v>229.35471122561461</v>
      </c>
    </row>
    <row r="243" spans="1:13" x14ac:dyDescent="0.25">
      <c r="A243" s="6">
        <v>33</v>
      </c>
      <c r="B243" s="6" t="s">
        <v>205</v>
      </c>
      <c r="C243" s="6" t="s">
        <v>300</v>
      </c>
      <c r="D243" s="6" t="s">
        <v>28</v>
      </c>
      <c r="E243" s="6" t="s">
        <v>35</v>
      </c>
      <c r="F243" s="6" t="s">
        <v>76</v>
      </c>
      <c r="G243" s="10">
        <v>0.14191087104532421</v>
      </c>
      <c r="H243" s="10">
        <v>1.601243883509142</v>
      </c>
      <c r="I243" s="10">
        <v>0</v>
      </c>
      <c r="J243" s="10">
        <v>0.2289474824354939</v>
      </c>
      <c r="K243" s="10">
        <v>59.191315216437189</v>
      </c>
      <c r="L243" s="10">
        <v>47.930006827141881</v>
      </c>
      <c r="M243" s="10">
        <v>211.20157917584299</v>
      </c>
    </row>
    <row r="244" spans="1:13" x14ac:dyDescent="0.25">
      <c r="A244" s="8">
        <v>33</v>
      </c>
      <c r="B244" s="8" t="s">
        <v>205</v>
      </c>
      <c r="C244" s="8" t="s">
        <v>301</v>
      </c>
      <c r="D244" s="8" t="s">
        <v>28</v>
      </c>
      <c r="E244" s="8" t="s">
        <v>35</v>
      </c>
      <c r="F244" s="8" t="s">
        <v>76</v>
      </c>
      <c r="G244" s="11">
        <v>0</v>
      </c>
      <c r="H244" s="11">
        <v>8.3882197240028836E-2</v>
      </c>
      <c r="I244" s="11">
        <v>4.6840289826681099E-2</v>
      </c>
      <c r="J244" s="11">
        <v>0.24952844734976529</v>
      </c>
      <c r="K244" s="11">
        <v>61.459796257234032</v>
      </c>
      <c r="L244" s="11">
        <v>46.932577465389251</v>
      </c>
      <c r="M244" s="11">
        <v>212.15760828628709</v>
      </c>
    </row>
    <row r="245" spans="1:13" x14ac:dyDescent="0.25">
      <c r="A245" s="6">
        <v>34</v>
      </c>
      <c r="B245" s="6" t="s">
        <v>210</v>
      </c>
      <c r="C245" s="6" t="s">
        <v>300</v>
      </c>
      <c r="D245" s="6" t="s">
        <v>28</v>
      </c>
      <c r="E245" s="6" t="s">
        <v>29</v>
      </c>
      <c r="F245" s="6" t="s">
        <v>130</v>
      </c>
      <c r="G245" s="10">
        <v>0</v>
      </c>
      <c r="H245" s="10">
        <v>0.53888783763546344</v>
      </c>
      <c r="I245" s="10">
        <v>0.55895774646599539</v>
      </c>
      <c r="J245" s="10">
        <v>0.67988509001220443</v>
      </c>
      <c r="K245" s="10">
        <v>44.665977960802778</v>
      </c>
      <c r="L245" s="10">
        <v>29.461790710784889</v>
      </c>
      <c r="M245" s="10">
        <v>76.489180134545222</v>
      </c>
    </row>
    <row r="246" spans="1:13" x14ac:dyDescent="0.25">
      <c r="A246" s="8">
        <v>34</v>
      </c>
      <c r="B246" s="8" t="s">
        <v>210</v>
      </c>
      <c r="C246" s="8" t="s">
        <v>301</v>
      </c>
      <c r="D246" s="8" t="s">
        <v>28</v>
      </c>
      <c r="E246" s="8" t="s">
        <v>29</v>
      </c>
      <c r="F246" s="8" t="s">
        <v>130</v>
      </c>
      <c r="G246" s="11">
        <v>0</v>
      </c>
      <c r="H246" s="11">
        <v>0.32127343254929702</v>
      </c>
      <c r="I246" s="11">
        <v>0.5256426997626461</v>
      </c>
      <c r="J246" s="11">
        <v>1.2222826160609359</v>
      </c>
      <c r="K246" s="11">
        <v>30.18268163700424</v>
      </c>
      <c r="L246" s="11">
        <v>24.87772879183483</v>
      </c>
      <c r="M246" s="11">
        <v>96.902750674201656</v>
      </c>
    </row>
    <row r="247" spans="1:13" x14ac:dyDescent="0.25">
      <c r="A247" s="6">
        <v>35</v>
      </c>
      <c r="B247" s="6" t="s">
        <v>212</v>
      </c>
      <c r="C247" s="6" t="s">
        <v>300</v>
      </c>
      <c r="D247" s="6" t="s">
        <v>28</v>
      </c>
      <c r="E247" s="6" t="s">
        <v>29</v>
      </c>
      <c r="F247" s="6" t="s">
        <v>130</v>
      </c>
      <c r="G247" s="10">
        <v>0</v>
      </c>
      <c r="H247" s="10">
        <v>7.0507928329398672E-2</v>
      </c>
      <c r="I247" s="10">
        <v>0.1448841273528465</v>
      </c>
      <c r="J247" s="10">
        <v>0.25921076400223497</v>
      </c>
      <c r="K247" s="10">
        <v>43.798166138630357</v>
      </c>
      <c r="L247" s="10">
        <v>31.327707045503551</v>
      </c>
      <c r="M247" s="10">
        <v>50.141193298572247</v>
      </c>
    </row>
    <row r="248" spans="1:13" x14ac:dyDescent="0.25">
      <c r="A248" s="8">
        <v>35</v>
      </c>
      <c r="B248" s="8" t="s">
        <v>212</v>
      </c>
      <c r="C248" s="8" t="s">
        <v>301</v>
      </c>
      <c r="D248" s="8" t="s">
        <v>28</v>
      </c>
      <c r="E248" s="8" t="s">
        <v>29</v>
      </c>
      <c r="F248" s="8" t="s">
        <v>130</v>
      </c>
      <c r="G248" s="11">
        <v>0</v>
      </c>
      <c r="H248" s="11">
        <v>0.1090721560237224</v>
      </c>
      <c r="I248" s="11">
        <v>0.85914424303480363</v>
      </c>
      <c r="J248" s="11">
        <v>0</v>
      </c>
      <c r="K248" s="11">
        <v>28.213201619757211</v>
      </c>
      <c r="L248" s="11">
        <v>20.93633895165053</v>
      </c>
      <c r="M248" s="11">
        <v>73.864623033822284</v>
      </c>
    </row>
    <row r="249" spans="1:13" x14ac:dyDescent="0.25">
      <c r="A249" s="6">
        <v>36</v>
      </c>
      <c r="B249" s="6" t="s">
        <v>214</v>
      </c>
      <c r="C249" s="6" t="s">
        <v>300</v>
      </c>
      <c r="D249" s="6" t="s">
        <v>28</v>
      </c>
      <c r="E249" s="6" t="s">
        <v>35</v>
      </c>
      <c r="F249" s="6" t="s">
        <v>88</v>
      </c>
      <c r="G249" s="10">
        <v>7.3400927521957676E-2</v>
      </c>
      <c r="H249" s="10">
        <v>0.70180496243028956</v>
      </c>
      <c r="I249" s="10">
        <v>4.5554317839269158E-2</v>
      </c>
      <c r="J249" s="10">
        <v>1.402436801450748</v>
      </c>
      <c r="K249" s="10">
        <v>43.073610496415832</v>
      </c>
      <c r="L249" s="10">
        <v>38.728575105778127</v>
      </c>
      <c r="M249" s="10">
        <v>242.43273005286389</v>
      </c>
    </row>
    <row r="250" spans="1:13" x14ac:dyDescent="0.25">
      <c r="A250" s="8">
        <v>36</v>
      </c>
      <c r="B250" s="8" t="s">
        <v>214</v>
      </c>
      <c r="C250" s="8" t="s">
        <v>301</v>
      </c>
      <c r="D250" s="8" t="s">
        <v>28</v>
      </c>
      <c r="E250" s="8" t="s">
        <v>35</v>
      </c>
      <c r="F250" s="8" t="s">
        <v>88</v>
      </c>
      <c r="G250" s="11">
        <v>0</v>
      </c>
      <c r="H250" s="11">
        <v>0.34734042341449439</v>
      </c>
      <c r="I250" s="11">
        <v>0</v>
      </c>
      <c r="J250" s="11">
        <v>0.45457411253170432</v>
      </c>
      <c r="K250" s="11">
        <v>60.408704745590633</v>
      </c>
      <c r="L250" s="11">
        <v>48.510694040374013</v>
      </c>
      <c r="M250" s="11">
        <v>216.86930410634201</v>
      </c>
    </row>
    <row r="251" spans="1:13" x14ac:dyDescent="0.25">
      <c r="A251" s="6">
        <v>37</v>
      </c>
      <c r="B251" s="6" t="s">
        <v>218</v>
      </c>
      <c r="C251" s="6" t="s">
        <v>300</v>
      </c>
      <c r="D251" s="6" t="s">
        <v>28</v>
      </c>
      <c r="E251" s="6" t="s">
        <v>35</v>
      </c>
      <c r="F251" s="6" t="s">
        <v>76</v>
      </c>
      <c r="G251" s="10">
        <v>0.30535713043367269</v>
      </c>
      <c r="H251" s="10">
        <v>0.14094843113112021</v>
      </c>
      <c r="I251" s="10">
        <v>5.4215425897099186E-3</v>
      </c>
      <c r="J251" s="10">
        <v>0.92447727733159768</v>
      </c>
      <c r="K251" s="10">
        <v>30.514332664280492</v>
      </c>
      <c r="L251" s="10">
        <v>28.675992224263862</v>
      </c>
      <c r="M251" s="10">
        <v>188.56031910176461</v>
      </c>
    </row>
    <row r="252" spans="1:13" x14ac:dyDescent="0.25">
      <c r="A252" s="8">
        <v>37</v>
      </c>
      <c r="B252" s="8" t="s">
        <v>218</v>
      </c>
      <c r="C252" s="8" t="s">
        <v>301</v>
      </c>
      <c r="D252" s="8" t="s">
        <v>28</v>
      </c>
      <c r="E252" s="8" t="s">
        <v>35</v>
      </c>
      <c r="F252" s="8" t="s">
        <v>76</v>
      </c>
      <c r="G252" s="11">
        <v>0</v>
      </c>
      <c r="H252" s="11">
        <v>8.3882197240028836E-2</v>
      </c>
      <c r="I252" s="11">
        <v>2.4298019276443351E-2</v>
      </c>
      <c r="J252" s="11">
        <v>0.2309310830082773</v>
      </c>
      <c r="K252" s="11">
        <v>45.486197913377573</v>
      </c>
      <c r="L252" s="11">
        <v>34.428473200240241</v>
      </c>
      <c r="M252" s="11">
        <v>169.6534187990338</v>
      </c>
    </row>
    <row r="253" spans="1:13" x14ac:dyDescent="0.25">
      <c r="A253" s="6">
        <v>38</v>
      </c>
      <c r="B253" s="6" t="s">
        <v>223</v>
      </c>
      <c r="C253" s="6" t="s">
        <v>300</v>
      </c>
      <c r="D253" s="6" t="s">
        <v>28</v>
      </c>
      <c r="E253" s="6" t="s">
        <v>31</v>
      </c>
      <c r="F253" s="6" t="s">
        <v>31</v>
      </c>
      <c r="G253" s="10">
        <v>0.1423627546916193</v>
      </c>
      <c r="H253" s="10">
        <v>0.19087658536061269</v>
      </c>
      <c r="I253" s="10">
        <v>0.1087001286100384</v>
      </c>
      <c r="J253" s="10">
        <v>0.39868431866922599</v>
      </c>
      <c r="K253" s="10">
        <v>67.358249040373622</v>
      </c>
      <c r="L253" s="10">
        <v>52.262791432987221</v>
      </c>
      <c r="M253" s="10">
        <v>205.89310831389679</v>
      </c>
    </row>
    <row r="254" spans="1:13" x14ac:dyDescent="0.25">
      <c r="A254" s="8">
        <v>38</v>
      </c>
      <c r="B254" s="8" t="s">
        <v>223</v>
      </c>
      <c r="C254" s="8" t="s">
        <v>301</v>
      </c>
      <c r="D254" s="8" t="s">
        <v>28</v>
      </c>
      <c r="E254" s="8" t="s">
        <v>31</v>
      </c>
      <c r="F254" s="8" t="s">
        <v>31</v>
      </c>
      <c r="G254" s="11">
        <v>0</v>
      </c>
      <c r="H254" s="11">
        <v>0.54761889554039</v>
      </c>
      <c r="I254" s="11">
        <v>5.0473616639224998E-2</v>
      </c>
      <c r="J254" s="11">
        <v>0.94513627935308775</v>
      </c>
      <c r="K254" s="11">
        <v>50.571016219655441</v>
      </c>
      <c r="L254" s="11">
        <v>45.612596971397018</v>
      </c>
      <c r="M254" s="11">
        <v>228.21925521167481</v>
      </c>
    </row>
    <row r="255" spans="1:13" x14ac:dyDescent="0.25">
      <c r="A255" s="6">
        <v>39</v>
      </c>
      <c r="B255" s="6" t="s">
        <v>229</v>
      </c>
      <c r="C255" s="6" t="s">
        <v>300</v>
      </c>
      <c r="D255" s="6" t="s">
        <v>28</v>
      </c>
      <c r="E255" s="6" t="s">
        <v>31</v>
      </c>
      <c r="F255" s="6" t="s">
        <v>31</v>
      </c>
      <c r="G255" s="10">
        <v>0.1423627546916193</v>
      </c>
      <c r="H255" s="10">
        <v>0.19087658536061269</v>
      </c>
      <c r="I255" s="10">
        <v>0.1087001286100384</v>
      </c>
      <c r="J255" s="10">
        <v>0.37808500805927941</v>
      </c>
      <c r="K255" s="10">
        <v>67.007992810224437</v>
      </c>
      <c r="L255" s="10">
        <v>52.066282694191528</v>
      </c>
      <c r="M255" s="10">
        <v>205.52161381979761</v>
      </c>
    </row>
    <row r="256" spans="1:13" x14ac:dyDescent="0.25">
      <c r="A256" s="8">
        <v>39</v>
      </c>
      <c r="B256" s="8" t="s">
        <v>229</v>
      </c>
      <c r="C256" s="8" t="s">
        <v>301</v>
      </c>
      <c r="D256" s="8" t="s">
        <v>28</v>
      </c>
      <c r="E256" s="8" t="s">
        <v>31</v>
      </c>
      <c r="F256" s="8" t="s">
        <v>31</v>
      </c>
      <c r="G256" s="11">
        <v>0</v>
      </c>
      <c r="H256" s="11">
        <v>0.90317783554809627</v>
      </c>
      <c r="I256" s="11">
        <v>0.1049872832033934</v>
      </c>
      <c r="J256" s="11">
        <v>0.63732161434013213</v>
      </c>
      <c r="K256" s="11">
        <v>52.912666076357993</v>
      </c>
      <c r="L256" s="11">
        <v>38.055957494648879</v>
      </c>
      <c r="M256" s="11">
        <v>232.43940737094141</v>
      </c>
    </row>
    <row r="257" spans="1:13" x14ac:dyDescent="0.25">
      <c r="A257" s="6">
        <v>40</v>
      </c>
      <c r="B257" s="6" t="s">
        <v>234</v>
      </c>
      <c r="C257" s="6" t="s">
        <v>300</v>
      </c>
      <c r="D257" s="6" t="s">
        <v>28</v>
      </c>
      <c r="E257" s="6" t="s">
        <v>31</v>
      </c>
      <c r="F257" s="6" t="s">
        <v>31</v>
      </c>
      <c r="G257" s="10">
        <v>0.1423627546916193</v>
      </c>
      <c r="H257" s="10">
        <v>0.19087658536061269</v>
      </c>
      <c r="I257" s="10">
        <v>0.1087001286100384</v>
      </c>
      <c r="J257" s="10">
        <v>0.39868431866922599</v>
      </c>
      <c r="K257" s="10">
        <v>67.358249040373622</v>
      </c>
      <c r="L257" s="10">
        <v>52.27381680184341</v>
      </c>
      <c r="M257" s="10">
        <v>205.9508621472857</v>
      </c>
    </row>
    <row r="258" spans="1:13" x14ac:dyDescent="0.25">
      <c r="A258" s="8">
        <v>40</v>
      </c>
      <c r="B258" s="8" t="s">
        <v>234</v>
      </c>
      <c r="C258" s="8" t="s">
        <v>301</v>
      </c>
      <c r="D258" s="8" t="s">
        <v>28</v>
      </c>
      <c r="E258" s="8" t="s">
        <v>31</v>
      </c>
      <c r="F258" s="8" t="s">
        <v>31</v>
      </c>
      <c r="G258" s="11">
        <v>0</v>
      </c>
      <c r="H258" s="11">
        <v>2.1664931883547331E-3</v>
      </c>
      <c r="I258" s="11">
        <v>4.085835435001741E-2</v>
      </c>
      <c r="J258" s="11">
        <v>0.36129624957342932</v>
      </c>
      <c r="K258" s="11">
        <v>42.505617415062652</v>
      </c>
      <c r="L258" s="11">
        <v>30.728695534576911</v>
      </c>
      <c r="M258" s="11">
        <v>252.31347506200601</v>
      </c>
    </row>
    <row r="259" spans="1:13" x14ac:dyDescent="0.25">
      <c r="A259" s="6">
        <v>41</v>
      </c>
      <c r="B259" s="6" t="s">
        <v>238</v>
      </c>
      <c r="C259" s="6" t="s">
        <v>300</v>
      </c>
      <c r="D259" s="6" t="s">
        <v>28</v>
      </c>
      <c r="E259" s="6" t="s">
        <v>31</v>
      </c>
      <c r="F259" s="6" t="s">
        <v>31</v>
      </c>
      <c r="G259" s="10">
        <v>5.2222732101069563E-2</v>
      </c>
      <c r="H259" s="10">
        <v>0.12701409600270411</v>
      </c>
      <c r="I259" s="10">
        <v>3.1548608690509579E-2</v>
      </c>
      <c r="J259" s="10">
        <v>0.16750319091501231</v>
      </c>
      <c r="K259" s="10">
        <v>59.993505539180077</v>
      </c>
      <c r="L259" s="10">
        <v>53.823119668093447</v>
      </c>
      <c r="M259" s="10">
        <v>211.25438556095691</v>
      </c>
    </row>
    <row r="260" spans="1:13" x14ac:dyDescent="0.25">
      <c r="A260" s="8">
        <v>41</v>
      </c>
      <c r="B260" s="8" t="s">
        <v>238</v>
      </c>
      <c r="C260" s="8" t="s">
        <v>301</v>
      </c>
      <c r="D260" s="8" t="s">
        <v>28</v>
      </c>
      <c r="E260" s="8" t="s">
        <v>31</v>
      </c>
      <c r="F260" s="8" t="s">
        <v>31</v>
      </c>
      <c r="G260" s="11">
        <v>0</v>
      </c>
      <c r="H260" s="11">
        <v>0.54761889554039</v>
      </c>
      <c r="I260" s="11">
        <v>5.0473616639224998E-2</v>
      </c>
      <c r="J260" s="11">
        <v>0.94513627935308775</v>
      </c>
      <c r="K260" s="11">
        <v>50.235548888441691</v>
      </c>
      <c r="L260" s="11">
        <v>45.362202854839133</v>
      </c>
      <c r="M260" s="11">
        <v>228.0564978626206</v>
      </c>
    </row>
    <row r="261" spans="1:13" x14ac:dyDescent="0.25">
      <c r="A261" s="6">
        <v>42</v>
      </c>
      <c r="B261" s="6" t="s">
        <v>242</v>
      </c>
      <c r="C261" s="6" t="s">
        <v>300</v>
      </c>
      <c r="D261" s="6" t="s">
        <v>28</v>
      </c>
      <c r="E261" s="6" t="s">
        <v>33</v>
      </c>
      <c r="F261" s="6" t="s">
        <v>33</v>
      </c>
      <c r="G261" s="10">
        <v>0.1119717603069536</v>
      </c>
      <c r="H261" s="10">
        <v>8.2158448585864255E-2</v>
      </c>
      <c r="I261" s="10">
        <v>1.643615657683831E-2</v>
      </c>
      <c r="J261" s="10">
        <v>0.5125712172728395</v>
      </c>
      <c r="K261" s="10">
        <v>67.117549684267743</v>
      </c>
      <c r="L261" s="10">
        <v>56.356321664556063</v>
      </c>
      <c r="M261" s="10">
        <v>197.66418683099539</v>
      </c>
    </row>
    <row r="262" spans="1:13" x14ac:dyDescent="0.25">
      <c r="A262" s="8">
        <v>42</v>
      </c>
      <c r="B262" s="8" t="s">
        <v>242</v>
      </c>
      <c r="C262" s="8" t="s">
        <v>301</v>
      </c>
      <c r="D262" s="8" t="s">
        <v>28</v>
      </c>
      <c r="E262" s="8" t="s">
        <v>33</v>
      </c>
      <c r="F262" s="8" t="s">
        <v>33</v>
      </c>
      <c r="G262" s="11">
        <v>0</v>
      </c>
      <c r="H262" s="11">
        <v>0.47667835410688608</v>
      </c>
      <c r="I262" s="11">
        <v>1.27297174998127E-2</v>
      </c>
      <c r="J262" s="11">
        <v>0.4202840859765154</v>
      </c>
      <c r="K262" s="11">
        <v>40.651361378664021</v>
      </c>
      <c r="L262" s="11">
        <v>31.659462752029832</v>
      </c>
      <c r="M262" s="11">
        <v>249.21290311643861</v>
      </c>
    </row>
    <row r="263" spans="1:13" x14ac:dyDescent="0.25">
      <c r="A263" s="6">
        <v>43</v>
      </c>
      <c r="B263" s="6" t="s">
        <v>248</v>
      </c>
      <c r="C263" s="6" t="s">
        <v>300</v>
      </c>
      <c r="D263" s="6" t="s">
        <v>28</v>
      </c>
      <c r="E263" s="6" t="s">
        <v>33</v>
      </c>
      <c r="F263" s="6" t="s">
        <v>33</v>
      </c>
      <c r="G263" s="10">
        <v>0.1119717603069536</v>
      </c>
      <c r="H263" s="10">
        <v>0.2137910036648912</v>
      </c>
      <c r="I263" s="10">
        <v>2.66289259127734E-2</v>
      </c>
      <c r="J263" s="10">
        <v>0.53192012036127867</v>
      </c>
      <c r="K263" s="10">
        <v>67.235218047696108</v>
      </c>
      <c r="L263" s="10">
        <v>56.319756834393488</v>
      </c>
      <c r="M263" s="10">
        <v>197.7381876113653</v>
      </c>
    </row>
    <row r="264" spans="1:13" x14ac:dyDescent="0.25">
      <c r="A264" s="8">
        <v>43</v>
      </c>
      <c r="B264" s="8" t="s">
        <v>248</v>
      </c>
      <c r="C264" s="8" t="s">
        <v>301</v>
      </c>
      <c r="D264" s="8" t="s">
        <v>28</v>
      </c>
      <c r="E264" s="8" t="s">
        <v>33</v>
      </c>
      <c r="F264" s="8" t="s">
        <v>33</v>
      </c>
      <c r="G264" s="11">
        <v>0</v>
      </c>
      <c r="H264" s="11">
        <v>0.45036794227206151</v>
      </c>
      <c r="I264" s="11">
        <v>6.3170939991916364E-2</v>
      </c>
      <c r="J264" s="11">
        <v>0.89965978323865836</v>
      </c>
      <c r="K264" s="11">
        <v>58.376029715565082</v>
      </c>
      <c r="L264" s="11">
        <v>42.972091125409762</v>
      </c>
      <c r="M264" s="11">
        <v>218.8656286111331</v>
      </c>
    </row>
    <row r="265" spans="1:13" x14ac:dyDescent="0.25">
      <c r="A265" s="6">
        <v>44</v>
      </c>
      <c r="B265" s="6" t="s">
        <v>254</v>
      </c>
      <c r="C265" s="6" t="s">
        <v>300</v>
      </c>
      <c r="D265" s="6" t="s">
        <v>28</v>
      </c>
      <c r="E265" s="6" t="s">
        <v>33</v>
      </c>
      <c r="F265" s="6" t="s">
        <v>33</v>
      </c>
      <c r="G265" s="10">
        <v>0</v>
      </c>
      <c r="H265" s="10">
        <v>0.24021946013287521</v>
      </c>
      <c r="I265" s="10">
        <v>0.21586370090681031</v>
      </c>
      <c r="J265" s="10">
        <v>0.59248667710547542</v>
      </c>
      <c r="K265" s="10">
        <v>70.970852140693879</v>
      </c>
      <c r="L265" s="10">
        <v>57.389927718761932</v>
      </c>
      <c r="M265" s="10">
        <v>195.02043862678869</v>
      </c>
    </row>
    <row r="266" spans="1:13" x14ac:dyDescent="0.25">
      <c r="A266" s="8">
        <v>44</v>
      </c>
      <c r="B266" s="8" t="s">
        <v>254</v>
      </c>
      <c r="C266" s="8" t="s">
        <v>301</v>
      </c>
      <c r="D266" s="8" t="s">
        <v>28</v>
      </c>
      <c r="E266" s="8" t="s">
        <v>33</v>
      </c>
      <c r="F266" s="8" t="s">
        <v>33</v>
      </c>
      <c r="G266" s="11">
        <v>0</v>
      </c>
      <c r="H266" s="11">
        <v>0.34786384859507741</v>
      </c>
      <c r="I266" s="11">
        <v>1.27297174998127E-2</v>
      </c>
      <c r="J266" s="11">
        <v>0.4202840859765154</v>
      </c>
      <c r="K266" s="11">
        <v>41.502099869045793</v>
      </c>
      <c r="L266" s="11">
        <v>32.234391519954421</v>
      </c>
      <c r="M266" s="11">
        <v>250.51769768747249</v>
      </c>
    </row>
    <row r="267" spans="1:13" x14ac:dyDescent="0.25">
      <c r="A267" s="6">
        <v>45</v>
      </c>
      <c r="B267" s="6" t="s">
        <v>259</v>
      </c>
      <c r="C267" s="6" t="s">
        <v>300</v>
      </c>
      <c r="D267" s="6" t="s">
        <v>28</v>
      </c>
      <c r="E267" s="6" t="s">
        <v>33</v>
      </c>
      <c r="F267" s="6" t="s">
        <v>33</v>
      </c>
      <c r="G267" s="10">
        <v>0.1119717603069536</v>
      </c>
      <c r="H267" s="10">
        <v>0.2137910036648912</v>
      </c>
      <c r="I267" s="10">
        <v>2.66289259127734E-2</v>
      </c>
      <c r="J267" s="10">
        <v>0.56215733478846408</v>
      </c>
      <c r="K267" s="10">
        <v>67.301100613028154</v>
      </c>
      <c r="L267" s="10">
        <v>56.319756834393488</v>
      </c>
      <c r="M267" s="10">
        <v>197.7381876113653</v>
      </c>
    </row>
    <row r="268" spans="1:13" x14ac:dyDescent="0.25">
      <c r="A268" s="8">
        <v>45</v>
      </c>
      <c r="B268" s="8" t="s">
        <v>259</v>
      </c>
      <c r="C268" s="8" t="s">
        <v>301</v>
      </c>
      <c r="D268" s="8" t="s">
        <v>28</v>
      </c>
      <c r="E268" s="8" t="s">
        <v>33</v>
      </c>
      <c r="F268" s="8" t="s">
        <v>33</v>
      </c>
      <c r="G268" s="11">
        <v>0</v>
      </c>
      <c r="H268" s="11">
        <v>0.44332241051292248</v>
      </c>
      <c r="I268" s="11">
        <v>0.428265735708522</v>
      </c>
      <c r="J268" s="11">
        <v>0.51104472499002784</v>
      </c>
      <c r="K268" s="11">
        <v>36.197264170490961</v>
      </c>
      <c r="L268" s="11">
        <v>28.879561718426849</v>
      </c>
      <c r="M268" s="11">
        <v>256.18752385879287</v>
      </c>
    </row>
    <row r="269" spans="1:13" x14ac:dyDescent="0.25">
      <c r="A269" s="6">
        <v>46</v>
      </c>
      <c r="B269" s="6" t="s">
        <v>263</v>
      </c>
      <c r="C269" s="6" t="s">
        <v>300</v>
      </c>
      <c r="D269" s="6" t="s">
        <v>28</v>
      </c>
      <c r="E269" s="6" t="s">
        <v>33</v>
      </c>
      <c r="F269" s="6" t="s">
        <v>33</v>
      </c>
      <c r="G269" s="10">
        <v>8.8935996553685642E-2</v>
      </c>
      <c r="H269" s="10">
        <v>0.1794253337608642</v>
      </c>
      <c r="I269" s="10">
        <v>5.059730733317578E-2</v>
      </c>
      <c r="J269" s="10">
        <v>0.57665162648251256</v>
      </c>
      <c r="K269" s="10">
        <v>63.807175975714962</v>
      </c>
      <c r="L269" s="10">
        <v>54.004262033049137</v>
      </c>
      <c r="M269" s="10">
        <v>206.22798010798391</v>
      </c>
    </row>
    <row r="270" spans="1:13" x14ac:dyDescent="0.25">
      <c r="A270" s="8">
        <v>46</v>
      </c>
      <c r="B270" s="8" t="s">
        <v>263</v>
      </c>
      <c r="C270" s="8" t="s">
        <v>301</v>
      </c>
      <c r="D270" s="8" t="s">
        <v>28</v>
      </c>
      <c r="E270" s="8" t="s">
        <v>33</v>
      </c>
      <c r="F270" s="8" t="s">
        <v>33</v>
      </c>
      <c r="G270" s="11">
        <v>0</v>
      </c>
      <c r="H270" s="11">
        <v>0.47667835410688608</v>
      </c>
      <c r="I270" s="11">
        <v>1.27297174998127E-2</v>
      </c>
      <c r="J270" s="11">
        <v>0.4202840859765154</v>
      </c>
      <c r="K270" s="11">
        <v>41.502099869045793</v>
      </c>
      <c r="L270" s="11">
        <v>32.504544856726113</v>
      </c>
      <c r="M270" s="11">
        <v>250.81001115689449</v>
      </c>
    </row>
    <row r="271" spans="1:13" x14ac:dyDescent="0.25">
      <c r="A271" s="6">
        <v>47</v>
      </c>
      <c r="B271" s="6" t="s">
        <v>266</v>
      </c>
      <c r="C271" s="6" t="s">
        <v>300</v>
      </c>
      <c r="D271" s="6" t="s">
        <v>28</v>
      </c>
      <c r="E271" s="6" t="s">
        <v>31</v>
      </c>
      <c r="F271" s="6" t="s">
        <v>31</v>
      </c>
      <c r="G271" s="10">
        <v>5.2222732101069563E-2</v>
      </c>
      <c r="H271" s="10">
        <v>0.12701409600270411</v>
      </c>
      <c r="I271" s="10">
        <v>3.1548608690509579E-2</v>
      </c>
      <c r="J271" s="10">
        <v>0.16750319091501231</v>
      </c>
      <c r="K271" s="10">
        <v>59.945805897200891</v>
      </c>
      <c r="L271" s="10">
        <v>53.823119668093447</v>
      </c>
      <c r="M271" s="10">
        <v>211.23443710140779</v>
      </c>
    </row>
    <row r="272" spans="1:13" x14ac:dyDescent="0.25">
      <c r="A272" s="8">
        <v>47</v>
      </c>
      <c r="B272" s="8" t="s">
        <v>266</v>
      </c>
      <c r="C272" s="8" t="s">
        <v>301</v>
      </c>
      <c r="D272" s="8" t="s">
        <v>28</v>
      </c>
      <c r="E272" s="8" t="s">
        <v>31</v>
      </c>
      <c r="F272" s="8" t="s">
        <v>31</v>
      </c>
      <c r="G272" s="11">
        <v>0</v>
      </c>
      <c r="H272" s="11">
        <v>0.90317783554809627</v>
      </c>
      <c r="I272" s="11">
        <v>0.108236844142404</v>
      </c>
      <c r="J272" s="11">
        <v>0.64815348413888652</v>
      </c>
      <c r="K272" s="11">
        <v>52.960680605724093</v>
      </c>
      <c r="L272" s="11">
        <v>38.363873389086699</v>
      </c>
      <c r="M272" s="11">
        <v>232.18900722070151</v>
      </c>
    </row>
    <row r="273" spans="1:13" x14ac:dyDescent="0.25">
      <c r="A273" s="6">
        <v>48</v>
      </c>
      <c r="B273" s="6" t="s">
        <v>269</v>
      </c>
      <c r="C273" s="6" t="s">
        <v>300</v>
      </c>
      <c r="D273" s="6" t="s">
        <v>28</v>
      </c>
      <c r="E273" s="6" t="s">
        <v>33</v>
      </c>
      <c r="F273" s="6" t="s">
        <v>33</v>
      </c>
      <c r="G273" s="10">
        <v>0</v>
      </c>
      <c r="H273" s="10">
        <v>0.24021946013287521</v>
      </c>
      <c r="I273" s="10">
        <v>0.21586370090681031</v>
      </c>
      <c r="J273" s="10">
        <v>0.59801557616878198</v>
      </c>
      <c r="K273" s="10">
        <v>71.216839058001057</v>
      </c>
      <c r="L273" s="10">
        <v>57.608886510204798</v>
      </c>
      <c r="M273" s="10">
        <v>195.5190827900918</v>
      </c>
    </row>
    <row r="274" spans="1:13" x14ac:dyDescent="0.25">
      <c r="A274" s="8">
        <v>48</v>
      </c>
      <c r="B274" s="8" t="s">
        <v>269</v>
      </c>
      <c r="C274" s="8" t="s">
        <v>301</v>
      </c>
      <c r="D274" s="8" t="s">
        <v>28</v>
      </c>
      <c r="E274" s="8" t="s">
        <v>33</v>
      </c>
      <c r="F274" s="8" t="s">
        <v>33</v>
      </c>
      <c r="G274" s="11">
        <v>0</v>
      </c>
      <c r="H274" s="11">
        <v>0.45036794227206151</v>
      </c>
      <c r="I274" s="11">
        <v>6.3170939991916364E-2</v>
      </c>
      <c r="J274" s="11">
        <v>0.91605902538235162</v>
      </c>
      <c r="K274" s="11">
        <v>59.818804156881647</v>
      </c>
      <c r="L274" s="11">
        <v>44.251155441805381</v>
      </c>
      <c r="M274" s="11">
        <v>219.38476491375911</v>
      </c>
    </row>
    <row r="275" spans="1:13" x14ac:dyDescent="0.25">
      <c r="A275" s="6">
        <v>49</v>
      </c>
      <c r="B275" s="6" t="s">
        <v>273</v>
      </c>
      <c r="C275" s="6" t="s">
        <v>300</v>
      </c>
      <c r="D275" s="6" t="s">
        <v>28</v>
      </c>
      <c r="E275" s="6" t="s">
        <v>33</v>
      </c>
      <c r="F275" s="6" t="s">
        <v>33</v>
      </c>
      <c r="G275" s="10">
        <v>0</v>
      </c>
      <c r="H275" s="10">
        <v>0.24021946013287521</v>
      </c>
      <c r="I275" s="10">
        <v>0.21586370090681031</v>
      </c>
      <c r="J275" s="10">
        <v>0.59248667710547542</v>
      </c>
      <c r="K275" s="10">
        <v>70.784207486832642</v>
      </c>
      <c r="L275" s="10">
        <v>57.217170971545229</v>
      </c>
      <c r="M275" s="10">
        <v>194.703693789026</v>
      </c>
    </row>
    <row r="276" spans="1:13" x14ac:dyDescent="0.25">
      <c r="A276" s="8">
        <v>49</v>
      </c>
      <c r="B276" s="8" t="s">
        <v>273</v>
      </c>
      <c r="C276" s="8" t="s">
        <v>301</v>
      </c>
      <c r="D276" s="8" t="s">
        <v>28</v>
      </c>
      <c r="E276" s="8" t="s">
        <v>33</v>
      </c>
      <c r="F276" s="8" t="s">
        <v>33</v>
      </c>
      <c r="G276" s="11">
        <v>0</v>
      </c>
      <c r="H276" s="11">
        <v>0.4185697978984132</v>
      </c>
      <c r="I276" s="11">
        <v>0.428265735708522</v>
      </c>
      <c r="J276" s="11">
        <v>0.46660244135921242</v>
      </c>
      <c r="K276" s="11">
        <v>35.974181316756393</v>
      </c>
      <c r="L276" s="11">
        <v>28.82664857731616</v>
      </c>
      <c r="M276" s="11">
        <v>258.01087185827743</v>
      </c>
    </row>
    <row r="277" spans="1:13" x14ac:dyDescent="0.25">
      <c r="A277" s="6">
        <v>50</v>
      </c>
      <c r="B277" s="6" t="s">
        <v>277</v>
      </c>
      <c r="C277" s="6" t="s">
        <v>300</v>
      </c>
      <c r="D277" s="6" t="s">
        <v>28</v>
      </c>
      <c r="E277" s="6" t="s">
        <v>33</v>
      </c>
      <c r="F277" s="6" t="s">
        <v>33</v>
      </c>
      <c r="G277" s="10">
        <v>8.8935996553685642E-2</v>
      </c>
      <c r="H277" s="10">
        <v>0.32793162569742029</v>
      </c>
      <c r="I277" s="10">
        <v>7.129119195051567E-2</v>
      </c>
      <c r="J277" s="10">
        <v>0.58798551523868015</v>
      </c>
      <c r="K277" s="10">
        <v>64.436710906579819</v>
      </c>
      <c r="L277" s="10">
        <v>54.476327256366737</v>
      </c>
      <c r="M277" s="10">
        <v>206.47677975070661</v>
      </c>
    </row>
    <row r="278" spans="1:13" x14ac:dyDescent="0.25">
      <c r="A278" s="8">
        <v>50</v>
      </c>
      <c r="B278" s="8" t="s">
        <v>277</v>
      </c>
      <c r="C278" s="8" t="s">
        <v>301</v>
      </c>
      <c r="D278" s="8" t="s">
        <v>28</v>
      </c>
      <c r="E278" s="8" t="s">
        <v>33</v>
      </c>
      <c r="F278" s="8" t="s">
        <v>33</v>
      </c>
      <c r="G278" s="11">
        <v>0</v>
      </c>
      <c r="H278" s="11">
        <v>0.45036794227206151</v>
      </c>
      <c r="I278" s="11">
        <v>6.3170939991916364E-2</v>
      </c>
      <c r="J278" s="11">
        <v>0.93014040423638877</v>
      </c>
      <c r="K278" s="11">
        <v>59.921886497585753</v>
      </c>
      <c r="L278" s="11">
        <v>44.514803191227927</v>
      </c>
      <c r="M278" s="11">
        <v>220.25377341913091</v>
      </c>
    </row>
    <row r="279" spans="1:13" x14ac:dyDescent="0.25">
      <c r="A279" s="6">
        <v>51</v>
      </c>
      <c r="B279" s="6" t="s">
        <v>281</v>
      </c>
      <c r="C279" s="6" t="s">
        <v>300</v>
      </c>
      <c r="D279" s="6" t="s">
        <v>28</v>
      </c>
      <c r="E279" s="6" t="s">
        <v>29</v>
      </c>
      <c r="F279" s="6" t="s">
        <v>96</v>
      </c>
      <c r="G279" s="10">
        <v>0</v>
      </c>
      <c r="H279" s="10">
        <v>0.59332623218911007</v>
      </c>
      <c r="I279" s="10">
        <v>0.60827748536033199</v>
      </c>
      <c r="J279" s="10">
        <v>0.30723605634976031</v>
      </c>
      <c r="K279" s="10">
        <v>47.848227987467823</v>
      </c>
      <c r="L279" s="10">
        <v>34.798057659764133</v>
      </c>
      <c r="M279" s="10">
        <v>69.521351283950381</v>
      </c>
    </row>
    <row r="280" spans="1:13" x14ac:dyDescent="0.25">
      <c r="A280" s="8">
        <v>51</v>
      </c>
      <c r="B280" s="8" t="s">
        <v>281</v>
      </c>
      <c r="C280" s="8" t="s">
        <v>301</v>
      </c>
      <c r="D280" s="8" t="s">
        <v>28</v>
      </c>
      <c r="E280" s="8" t="s">
        <v>29</v>
      </c>
      <c r="F280" s="8" t="s">
        <v>96</v>
      </c>
      <c r="G280" s="11">
        <v>0</v>
      </c>
      <c r="H280" s="11">
        <v>0.65269298090049266</v>
      </c>
      <c r="I280" s="11">
        <v>1.4671353884529701</v>
      </c>
      <c r="J280" s="11">
        <v>1.325529204266642</v>
      </c>
      <c r="K280" s="11">
        <v>32.194796924640961</v>
      </c>
      <c r="L280" s="11">
        <v>24.26414905968165</v>
      </c>
      <c r="M280" s="11">
        <v>93.626436720487092</v>
      </c>
    </row>
    <row r="281" spans="1:13" x14ac:dyDescent="0.25">
      <c r="A281" s="6">
        <v>52</v>
      </c>
      <c r="B281" s="6" t="s">
        <v>283</v>
      </c>
      <c r="C281" s="6" t="s">
        <v>300</v>
      </c>
      <c r="D281" s="6" t="s">
        <v>28</v>
      </c>
      <c r="E281" s="6" t="s">
        <v>29</v>
      </c>
      <c r="F281" s="6" t="s">
        <v>130</v>
      </c>
      <c r="G281" s="10">
        <v>0</v>
      </c>
      <c r="H281" s="10">
        <v>0.1862366457606098</v>
      </c>
      <c r="I281" s="10">
        <v>0.29756116596851101</v>
      </c>
      <c r="J281" s="10">
        <v>1.4208131798353429</v>
      </c>
      <c r="K281" s="10">
        <v>52.756028546138587</v>
      </c>
      <c r="L281" s="10">
        <v>37.953041680685587</v>
      </c>
      <c r="M281" s="10">
        <v>58.946475557855408</v>
      </c>
    </row>
    <row r="282" spans="1:13" x14ac:dyDescent="0.25">
      <c r="A282" s="8">
        <v>52</v>
      </c>
      <c r="B282" s="8" t="s">
        <v>283</v>
      </c>
      <c r="C282" s="8" t="s">
        <v>301</v>
      </c>
      <c r="D282" s="8" t="s">
        <v>28</v>
      </c>
      <c r="E282" s="8" t="s">
        <v>29</v>
      </c>
      <c r="F282" s="8" t="s">
        <v>130</v>
      </c>
      <c r="G282" s="11">
        <v>0</v>
      </c>
      <c r="H282" s="11">
        <v>0.36612590067079281</v>
      </c>
      <c r="I282" s="11">
        <v>0.5256426997626461</v>
      </c>
      <c r="J282" s="11">
        <v>1.2052897532145439</v>
      </c>
      <c r="K282" s="11">
        <v>29.795163922103889</v>
      </c>
      <c r="L282" s="11">
        <v>24.547360757977579</v>
      </c>
      <c r="M282" s="11">
        <v>95.669722271772159</v>
      </c>
    </row>
    <row r="283" spans="1:13" x14ac:dyDescent="0.25">
      <c r="A283" s="6">
        <v>53</v>
      </c>
      <c r="B283" s="6" t="s">
        <v>287</v>
      </c>
      <c r="C283" s="6" t="s">
        <v>300</v>
      </c>
      <c r="D283" s="6" t="s">
        <v>28</v>
      </c>
      <c r="E283" s="6" t="s">
        <v>31</v>
      </c>
      <c r="F283" s="6" t="s">
        <v>31</v>
      </c>
      <c r="G283" s="10">
        <v>5.2222732101069563E-2</v>
      </c>
      <c r="H283" s="10">
        <v>0.12701409600270411</v>
      </c>
      <c r="I283" s="10">
        <v>3.1548608690509579E-2</v>
      </c>
      <c r="J283" s="10">
        <v>0.16750319091501231</v>
      </c>
      <c r="K283" s="10">
        <v>59.942098202755432</v>
      </c>
      <c r="L283" s="10">
        <v>53.823119668093447</v>
      </c>
      <c r="M283" s="10">
        <v>211.265551707941</v>
      </c>
    </row>
    <row r="284" spans="1:13" x14ac:dyDescent="0.25">
      <c r="A284" s="8">
        <v>53</v>
      </c>
      <c r="B284" s="8" t="s">
        <v>287</v>
      </c>
      <c r="C284" s="8" t="s">
        <v>301</v>
      </c>
      <c r="D284" s="8" t="s">
        <v>28</v>
      </c>
      <c r="E284" s="8" t="s">
        <v>31</v>
      </c>
      <c r="F284" s="8" t="s">
        <v>31</v>
      </c>
      <c r="G284" s="11">
        <v>0</v>
      </c>
      <c r="H284" s="11">
        <v>2.1664931883547331E-3</v>
      </c>
      <c r="I284" s="11">
        <v>4.085835435001741E-2</v>
      </c>
      <c r="J284" s="11">
        <v>0.36129624957342932</v>
      </c>
      <c r="K284" s="11">
        <v>42.408761093682124</v>
      </c>
      <c r="L284" s="11">
        <v>30.728695534576911</v>
      </c>
      <c r="M284" s="11">
        <v>251.55385390647561</v>
      </c>
    </row>
    <row r="285" spans="1:13" x14ac:dyDescent="0.25">
      <c r="A285" s="6">
        <v>54</v>
      </c>
      <c r="B285" s="6" t="s">
        <v>289</v>
      </c>
      <c r="C285" s="6" t="s">
        <v>300</v>
      </c>
      <c r="D285" s="6" t="s">
        <v>28</v>
      </c>
      <c r="E285" s="6" t="s">
        <v>33</v>
      </c>
      <c r="F285" s="6" t="s">
        <v>33</v>
      </c>
      <c r="G285" s="10">
        <v>8.8935996553685642E-2</v>
      </c>
      <c r="H285" s="10">
        <v>0.32793162569742029</v>
      </c>
      <c r="I285" s="10">
        <v>0.10141816483241591</v>
      </c>
      <c r="J285" s="10">
        <v>0.57665162648251256</v>
      </c>
      <c r="K285" s="10">
        <v>63.630851515328487</v>
      </c>
      <c r="L285" s="10">
        <v>53.728638461221273</v>
      </c>
      <c r="M285" s="10">
        <v>206.0150800117203</v>
      </c>
    </row>
    <row r="286" spans="1:13" x14ac:dyDescent="0.25">
      <c r="A286" s="8">
        <v>54</v>
      </c>
      <c r="B286" s="8" t="s">
        <v>289</v>
      </c>
      <c r="C286" s="8" t="s">
        <v>301</v>
      </c>
      <c r="D286" s="8" t="s">
        <v>28</v>
      </c>
      <c r="E286" s="8" t="s">
        <v>33</v>
      </c>
      <c r="F286" s="8" t="s">
        <v>33</v>
      </c>
      <c r="G286" s="11">
        <v>0</v>
      </c>
      <c r="H286" s="11">
        <v>0.44236745429158209</v>
      </c>
      <c r="I286" s="11">
        <v>0.428265735708522</v>
      </c>
      <c r="J286" s="11">
        <v>0.51104472499002784</v>
      </c>
      <c r="K286" s="11">
        <v>36.406613940185977</v>
      </c>
      <c r="L286" s="11">
        <v>29.047822987177661</v>
      </c>
      <c r="M286" s="11">
        <v>258.19733356892652</v>
      </c>
    </row>
  </sheetData>
  <autoFilter ref="A178:M286"/>
  <mergeCells count="3">
    <mergeCell ref="A61:M61"/>
    <mergeCell ref="A1:R1"/>
    <mergeCell ref="A175:M17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8" width="22" customWidth="1"/>
    <col min="9" max="9" width="21" customWidth="1"/>
    <col min="10" max="10" width="20" customWidth="1"/>
    <col min="11" max="14" width="19" customWidth="1"/>
    <col min="15" max="15" width="15" customWidth="1"/>
    <col min="16" max="16" width="13" customWidth="1"/>
    <col min="17" max="17" width="16" customWidth="1"/>
    <col min="18" max="18" width="14" customWidth="1"/>
    <col min="19" max="20" width="28" customWidth="1"/>
  </cols>
  <sheetData>
    <row r="1" spans="1:20" ht="27.95" customHeight="1" x14ac:dyDescent="0.25">
      <c r="A1" s="55" t="s">
        <v>306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</row>
    <row r="2" spans="1:20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4" spans="1:20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307</v>
      </c>
      <c r="J4" s="9" t="s">
        <v>308</v>
      </c>
      <c r="K4" s="9" t="s">
        <v>65</v>
      </c>
      <c r="L4" s="9" t="s">
        <v>66</v>
      </c>
      <c r="M4" s="9" t="s">
        <v>67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72</v>
      </c>
      <c r="S4" s="9" t="s">
        <v>73</v>
      </c>
      <c r="T4" s="9" t="s">
        <v>74</v>
      </c>
    </row>
    <row r="5" spans="1:20" x14ac:dyDescent="0.25">
      <c r="A5" s="6">
        <v>4</v>
      </c>
      <c r="B5" s="6" t="s">
        <v>95</v>
      </c>
      <c r="C5" s="6" t="s">
        <v>42</v>
      </c>
      <c r="D5" s="6" t="s">
        <v>28</v>
      </c>
      <c r="E5" s="6" t="s">
        <v>29</v>
      </c>
      <c r="F5" s="6" t="s">
        <v>96</v>
      </c>
      <c r="G5" s="6" t="s">
        <v>97</v>
      </c>
      <c r="H5" s="6" t="s">
        <v>97</v>
      </c>
      <c r="I5" s="6" t="s">
        <v>309</v>
      </c>
      <c r="J5" s="6" t="s">
        <v>97</v>
      </c>
      <c r="K5" s="10">
        <v>148.19876902377749</v>
      </c>
      <c r="L5" s="10">
        <v>148.1254196841063</v>
      </c>
      <c r="M5" s="10">
        <v>240.44363333333331</v>
      </c>
      <c r="N5" s="10">
        <v>274.35000000000002</v>
      </c>
      <c r="O5" s="6" t="s">
        <v>98</v>
      </c>
      <c r="P5" s="6" t="s">
        <v>99</v>
      </c>
      <c r="Q5" s="6" t="s">
        <v>100</v>
      </c>
      <c r="R5" s="6" t="s">
        <v>101</v>
      </c>
      <c r="S5" s="10">
        <v>42.808105641290943</v>
      </c>
      <c r="T5" s="10">
        <v>44.784536201483498</v>
      </c>
    </row>
    <row r="6" spans="1:20" x14ac:dyDescent="0.25">
      <c r="A6" s="8">
        <v>11</v>
      </c>
      <c r="B6" s="8" t="s">
        <v>129</v>
      </c>
      <c r="C6" s="8" t="s">
        <v>42</v>
      </c>
      <c r="D6" s="8" t="s">
        <v>28</v>
      </c>
      <c r="E6" s="8" t="s">
        <v>29</v>
      </c>
      <c r="F6" s="8" t="s">
        <v>130</v>
      </c>
      <c r="G6" s="8" t="s">
        <v>131</v>
      </c>
      <c r="H6" s="8" t="s">
        <v>131</v>
      </c>
      <c r="I6" s="8" t="s">
        <v>309</v>
      </c>
      <c r="J6" s="8" t="s">
        <v>131</v>
      </c>
      <c r="K6" s="11">
        <v>143.67832745765901</v>
      </c>
      <c r="L6" s="11">
        <v>143.70610311558761</v>
      </c>
      <c r="M6" s="11">
        <v>241.37365</v>
      </c>
      <c r="N6" s="11">
        <v>241.6157666666667</v>
      </c>
      <c r="O6" s="8" t="s">
        <v>132</v>
      </c>
      <c r="P6" s="8" t="s">
        <v>133</v>
      </c>
      <c r="Q6" s="8" t="s">
        <v>134</v>
      </c>
      <c r="R6" s="8" t="s">
        <v>135</v>
      </c>
      <c r="S6" s="11">
        <v>44.633872553714347</v>
      </c>
      <c r="T6" s="11">
        <v>42.341883574137007</v>
      </c>
    </row>
    <row r="7" spans="1:20" x14ac:dyDescent="0.25">
      <c r="A7" s="6">
        <v>18</v>
      </c>
      <c r="B7" s="6" t="s">
        <v>162</v>
      </c>
      <c r="C7" s="6" t="s">
        <v>42</v>
      </c>
      <c r="D7" s="6" t="s">
        <v>28</v>
      </c>
      <c r="E7" s="6" t="s">
        <v>29</v>
      </c>
      <c r="F7" s="6" t="s">
        <v>96</v>
      </c>
      <c r="G7" s="6" t="s">
        <v>103</v>
      </c>
      <c r="H7" s="6" t="s">
        <v>103</v>
      </c>
      <c r="I7" s="6" t="s">
        <v>309</v>
      </c>
      <c r="J7" s="6" t="s">
        <v>103</v>
      </c>
      <c r="K7" s="10">
        <v>141.5990549680233</v>
      </c>
      <c r="L7" s="10">
        <v>141.66630570695861</v>
      </c>
      <c r="M7" s="10">
        <v>205.6434166666667</v>
      </c>
      <c r="N7" s="10">
        <v>221.15</v>
      </c>
      <c r="O7" s="6" t="s">
        <v>163</v>
      </c>
      <c r="P7" s="6" t="s">
        <v>164</v>
      </c>
      <c r="Q7" s="6" t="s">
        <v>106</v>
      </c>
      <c r="R7" s="6" t="s">
        <v>107</v>
      </c>
      <c r="S7" s="10">
        <v>51.089288821174947</v>
      </c>
      <c r="T7" s="10">
        <v>44.820093416341507</v>
      </c>
    </row>
    <row r="8" spans="1:20" x14ac:dyDescent="0.25">
      <c r="A8" s="8">
        <v>23</v>
      </c>
      <c r="B8" s="8" t="s">
        <v>176</v>
      </c>
      <c r="C8" s="8" t="s">
        <v>42</v>
      </c>
      <c r="D8" s="8" t="s">
        <v>28</v>
      </c>
      <c r="E8" s="8" t="s">
        <v>29</v>
      </c>
      <c r="F8" s="8" t="s">
        <v>130</v>
      </c>
      <c r="G8" s="8" t="s">
        <v>137</v>
      </c>
      <c r="H8" s="8" t="s">
        <v>137</v>
      </c>
      <c r="I8" s="8" t="s">
        <v>309</v>
      </c>
      <c r="J8" s="8" t="s">
        <v>137</v>
      </c>
      <c r="K8" s="11">
        <v>137.84785127876921</v>
      </c>
      <c r="L8" s="11">
        <v>137.9112374368539</v>
      </c>
      <c r="M8" s="11">
        <v>223.05115000000001</v>
      </c>
      <c r="N8" s="11">
        <v>231.8833333333333</v>
      </c>
      <c r="O8" s="8" t="s">
        <v>142</v>
      </c>
      <c r="P8" s="8" t="s">
        <v>177</v>
      </c>
      <c r="Q8" s="8" t="s">
        <v>139</v>
      </c>
      <c r="R8" s="8" t="s">
        <v>140</v>
      </c>
      <c r="S8" s="11">
        <v>43.489208200130058</v>
      </c>
      <c r="T8" s="11">
        <v>40.29129762507425</v>
      </c>
    </row>
    <row r="9" spans="1:20" x14ac:dyDescent="0.25">
      <c r="A9" s="6">
        <v>28</v>
      </c>
      <c r="B9" s="6" t="s">
        <v>188</v>
      </c>
      <c r="C9" s="6" t="s">
        <v>42</v>
      </c>
      <c r="D9" s="6" t="s">
        <v>28</v>
      </c>
      <c r="E9" s="6" t="s">
        <v>29</v>
      </c>
      <c r="F9" s="6" t="s">
        <v>96</v>
      </c>
      <c r="G9" s="6" t="s">
        <v>112</v>
      </c>
      <c r="H9" s="6" t="s">
        <v>112</v>
      </c>
      <c r="I9" s="6" t="s">
        <v>309</v>
      </c>
      <c r="J9" s="6" t="s">
        <v>112</v>
      </c>
      <c r="K9" s="10">
        <v>145.90644227428081</v>
      </c>
      <c r="L9" s="10">
        <v>145.99433069945931</v>
      </c>
      <c r="M9" s="10">
        <v>195.40219999999999</v>
      </c>
      <c r="N9" s="10">
        <v>266.86321666666669</v>
      </c>
      <c r="O9" s="6" t="s">
        <v>189</v>
      </c>
      <c r="P9" s="6" t="s">
        <v>190</v>
      </c>
      <c r="Q9" s="6" t="s">
        <v>115</v>
      </c>
      <c r="R9" s="6" t="s">
        <v>191</v>
      </c>
      <c r="S9" s="10">
        <v>48.032687059895139</v>
      </c>
      <c r="T9" s="10">
        <v>45.342764687473462</v>
      </c>
    </row>
    <row r="10" spans="1:20" x14ac:dyDescent="0.25">
      <c r="A10" s="8">
        <v>31</v>
      </c>
      <c r="B10" s="8" t="s">
        <v>198</v>
      </c>
      <c r="C10" s="8" t="s">
        <v>42</v>
      </c>
      <c r="D10" s="8" t="s">
        <v>28</v>
      </c>
      <c r="E10" s="8" t="s">
        <v>29</v>
      </c>
      <c r="F10" s="8" t="s">
        <v>130</v>
      </c>
      <c r="G10" s="8" t="s">
        <v>145</v>
      </c>
      <c r="H10" s="8" t="s">
        <v>145</v>
      </c>
      <c r="I10" s="8" t="s">
        <v>309</v>
      </c>
      <c r="J10" s="8" t="s">
        <v>145</v>
      </c>
      <c r="K10" s="11">
        <v>123.9926446469637</v>
      </c>
      <c r="L10" s="11">
        <v>123.9802750677086</v>
      </c>
      <c r="M10" s="11">
        <v>187.65295</v>
      </c>
      <c r="N10" s="11">
        <v>194.95840000000001</v>
      </c>
      <c r="O10" s="8" t="s">
        <v>199</v>
      </c>
      <c r="P10" s="8" t="s">
        <v>200</v>
      </c>
      <c r="Q10" s="8" t="s">
        <v>148</v>
      </c>
      <c r="R10" s="8" t="s">
        <v>149</v>
      </c>
      <c r="S10" s="11">
        <v>46.882858863668829</v>
      </c>
      <c r="T10" s="11">
        <v>42.761694453487323</v>
      </c>
    </row>
    <row r="11" spans="1:20" x14ac:dyDescent="0.25">
      <c r="A11" s="6">
        <v>38</v>
      </c>
      <c r="B11" s="6" t="s">
        <v>223</v>
      </c>
      <c r="C11" s="6" t="s">
        <v>42</v>
      </c>
      <c r="D11" s="6" t="s">
        <v>28</v>
      </c>
      <c r="E11" s="6" t="s">
        <v>31</v>
      </c>
      <c r="F11" s="6" t="s">
        <v>31</v>
      </c>
      <c r="G11" s="6" t="s">
        <v>224</v>
      </c>
      <c r="H11" s="6" t="s">
        <v>224</v>
      </c>
      <c r="I11" s="6" t="s">
        <v>309</v>
      </c>
      <c r="J11" s="6" t="s">
        <v>224</v>
      </c>
      <c r="K11" s="10">
        <v>326.35477257458922</v>
      </c>
      <c r="L11" s="10">
        <v>325.94609719425989</v>
      </c>
      <c r="M11" s="10">
        <v>395</v>
      </c>
      <c r="N11" s="10">
        <v>374.96151666666663</v>
      </c>
      <c r="O11" s="6" t="s">
        <v>225</v>
      </c>
      <c r="P11" s="6" t="s">
        <v>226</v>
      </c>
      <c r="Q11" s="6" t="s">
        <v>227</v>
      </c>
      <c r="R11" s="6" t="s">
        <v>228</v>
      </c>
      <c r="S11" s="10">
        <v>61.316237218779037</v>
      </c>
      <c r="T11" s="10">
        <v>59.540017015084743</v>
      </c>
    </row>
    <row r="12" spans="1:20" x14ac:dyDescent="0.25">
      <c r="A12" s="8">
        <v>42</v>
      </c>
      <c r="B12" s="8" t="s">
        <v>242</v>
      </c>
      <c r="C12" s="8" t="s">
        <v>42</v>
      </c>
      <c r="D12" s="8" t="s">
        <v>28</v>
      </c>
      <c r="E12" s="8" t="s">
        <v>33</v>
      </c>
      <c r="F12" s="8" t="s">
        <v>33</v>
      </c>
      <c r="G12" s="8" t="s">
        <v>243</v>
      </c>
      <c r="H12" s="8" t="s">
        <v>243</v>
      </c>
      <c r="I12" s="8" t="s">
        <v>309</v>
      </c>
      <c r="J12" s="8" t="s">
        <v>243</v>
      </c>
      <c r="K12" s="11">
        <v>321.86119576256169</v>
      </c>
      <c r="L12" s="11">
        <v>322.43341940471572</v>
      </c>
      <c r="M12" s="11">
        <v>405.77063333333331</v>
      </c>
      <c r="N12" s="11">
        <v>325.4048166666667</v>
      </c>
      <c r="O12" s="8" t="s">
        <v>244</v>
      </c>
      <c r="P12" s="8" t="s">
        <v>245</v>
      </c>
      <c r="Q12" s="8" t="s">
        <v>246</v>
      </c>
      <c r="R12" s="8" t="s">
        <v>247</v>
      </c>
      <c r="S12" s="11">
        <v>64.645314886366052</v>
      </c>
      <c r="T12" s="11">
        <v>63.964896238433653</v>
      </c>
    </row>
    <row r="13" spans="1:20" x14ac:dyDescent="0.25">
      <c r="A13" s="6">
        <v>48</v>
      </c>
      <c r="B13" s="6" t="s">
        <v>269</v>
      </c>
      <c r="C13" s="6" t="s">
        <v>42</v>
      </c>
      <c r="D13" s="6" t="s">
        <v>28</v>
      </c>
      <c r="E13" s="6" t="s">
        <v>33</v>
      </c>
      <c r="F13" s="6" t="s">
        <v>33</v>
      </c>
      <c r="G13" s="6" t="s">
        <v>249</v>
      </c>
      <c r="H13" s="6" t="s">
        <v>249</v>
      </c>
      <c r="I13" s="6" t="s">
        <v>309</v>
      </c>
      <c r="J13" s="6" t="s">
        <v>249</v>
      </c>
      <c r="K13" s="10">
        <v>325.39890709550622</v>
      </c>
      <c r="L13" s="10">
        <v>324.88432242009242</v>
      </c>
      <c r="M13" s="10">
        <v>410.73333333333329</v>
      </c>
      <c r="N13" s="10">
        <v>348.14720000000011</v>
      </c>
      <c r="O13" s="6" t="s">
        <v>255</v>
      </c>
      <c r="P13" s="6" t="s">
        <v>270</v>
      </c>
      <c r="Q13" s="6" t="s">
        <v>271</v>
      </c>
      <c r="R13" s="6" t="s">
        <v>272</v>
      </c>
      <c r="S13" s="10">
        <v>62.048170909885918</v>
      </c>
      <c r="T13" s="10">
        <v>63.51275377345894</v>
      </c>
    </row>
    <row r="14" spans="1:20" x14ac:dyDescent="0.25">
      <c r="A14" s="8">
        <v>51</v>
      </c>
      <c r="B14" s="8" t="s">
        <v>281</v>
      </c>
      <c r="C14" s="8" t="s">
        <v>42</v>
      </c>
      <c r="D14" s="8" t="s">
        <v>28</v>
      </c>
      <c r="E14" s="8" t="s">
        <v>29</v>
      </c>
      <c r="F14" s="8" t="s">
        <v>96</v>
      </c>
      <c r="G14" s="8" t="s">
        <v>122</v>
      </c>
      <c r="H14" s="8" t="s">
        <v>122</v>
      </c>
      <c r="I14" s="8" t="s">
        <v>309</v>
      </c>
      <c r="J14" s="8" t="s">
        <v>122</v>
      </c>
      <c r="K14" s="11">
        <v>153.67647670508151</v>
      </c>
      <c r="L14" s="11">
        <v>153.53074027842979</v>
      </c>
      <c r="M14" s="11">
        <v>265.81493333333327</v>
      </c>
      <c r="N14" s="11">
        <v>285.56666666666672</v>
      </c>
      <c r="O14" s="8" t="s">
        <v>282</v>
      </c>
      <c r="P14" s="8" t="s">
        <v>175</v>
      </c>
      <c r="Q14" s="8" t="s">
        <v>124</v>
      </c>
      <c r="R14" s="8" t="s">
        <v>125</v>
      </c>
      <c r="S14" s="11">
        <v>45.911373665924373</v>
      </c>
      <c r="T14" s="11">
        <v>41.347135164429552</v>
      </c>
    </row>
    <row r="15" spans="1:20" x14ac:dyDescent="0.25">
      <c r="A15" s="6">
        <v>52</v>
      </c>
      <c r="B15" s="6" t="s">
        <v>283</v>
      </c>
      <c r="C15" s="6" t="s">
        <v>42</v>
      </c>
      <c r="D15" s="6" t="s">
        <v>28</v>
      </c>
      <c r="E15" s="6" t="s">
        <v>29</v>
      </c>
      <c r="F15" s="6" t="s">
        <v>130</v>
      </c>
      <c r="G15" s="6" t="s">
        <v>154</v>
      </c>
      <c r="H15" s="6" t="s">
        <v>154</v>
      </c>
      <c r="I15" s="6" t="s">
        <v>309</v>
      </c>
      <c r="J15" s="6" t="s">
        <v>154</v>
      </c>
      <c r="K15" s="10">
        <v>151.56015677624401</v>
      </c>
      <c r="L15" s="10">
        <v>152.10930530550161</v>
      </c>
      <c r="M15" s="10">
        <v>263.95294999999999</v>
      </c>
      <c r="N15" s="10">
        <v>286.34036666666663</v>
      </c>
      <c r="O15" s="6" t="s">
        <v>284</v>
      </c>
      <c r="P15" s="6" t="s">
        <v>285</v>
      </c>
      <c r="Q15" s="6" t="s">
        <v>156</v>
      </c>
      <c r="R15" s="6" t="s">
        <v>286</v>
      </c>
      <c r="S15" s="10">
        <v>42.410120530327511</v>
      </c>
      <c r="T15" s="10">
        <v>36.293607322885208</v>
      </c>
    </row>
    <row r="16" spans="1:20" x14ac:dyDescent="0.25">
      <c r="A16" s="8">
        <v>53</v>
      </c>
      <c r="B16" s="8" t="s">
        <v>287</v>
      </c>
      <c r="C16" s="8" t="s">
        <v>42</v>
      </c>
      <c r="D16" s="8" t="s">
        <v>28</v>
      </c>
      <c r="E16" s="8" t="s">
        <v>31</v>
      </c>
      <c r="F16" s="8" t="s">
        <v>31</v>
      </c>
      <c r="G16" s="8" t="s">
        <v>235</v>
      </c>
      <c r="H16" s="8" t="s">
        <v>235</v>
      </c>
      <c r="I16" s="8" t="s">
        <v>309</v>
      </c>
      <c r="J16" s="8" t="s">
        <v>235</v>
      </c>
      <c r="K16" s="11">
        <v>325.4090582064992</v>
      </c>
      <c r="L16" s="11">
        <v>325.0956316318464</v>
      </c>
      <c r="M16" s="11">
        <v>353.84784999999999</v>
      </c>
      <c r="N16" s="11">
        <v>317.94676666666669</v>
      </c>
      <c r="O16" s="8" t="s">
        <v>239</v>
      </c>
      <c r="P16" s="8" t="s">
        <v>240</v>
      </c>
      <c r="Q16" s="8" t="s">
        <v>236</v>
      </c>
      <c r="R16" s="8" t="s">
        <v>288</v>
      </c>
      <c r="S16" s="11">
        <v>67.113187317822849</v>
      </c>
      <c r="T16" s="11">
        <v>62.785790581976698</v>
      </c>
    </row>
    <row r="17" spans="1:20" x14ac:dyDescent="0.25">
      <c r="A17" s="6">
        <v>54</v>
      </c>
      <c r="B17" s="6" t="s">
        <v>289</v>
      </c>
      <c r="C17" s="6" t="s">
        <v>42</v>
      </c>
      <c r="D17" s="6" t="s">
        <v>28</v>
      </c>
      <c r="E17" s="6" t="s">
        <v>33</v>
      </c>
      <c r="F17" s="6" t="s">
        <v>33</v>
      </c>
      <c r="G17" s="6" t="s">
        <v>260</v>
      </c>
      <c r="H17" s="6" t="s">
        <v>260</v>
      </c>
      <c r="I17" s="6" t="s">
        <v>309</v>
      </c>
      <c r="J17" s="6" t="s">
        <v>260</v>
      </c>
      <c r="K17" s="10">
        <v>324.46950740183598</v>
      </c>
      <c r="L17" s="10">
        <v>325.03344841128018</v>
      </c>
      <c r="M17" s="10">
        <v>417.36546666666669</v>
      </c>
      <c r="N17" s="10">
        <v>352.73333333333329</v>
      </c>
      <c r="O17" s="6" t="s">
        <v>278</v>
      </c>
      <c r="P17" s="6" t="s">
        <v>290</v>
      </c>
      <c r="Q17" s="6" t="s">
        <v>261</v>
      </c>
      <c r="R17" s="6" t="s">
        <v>276</v>
      </c>
      <c r="S17" s="10">
        <v>64.21541291915878</v>
      </c>
      <c r="T17" s="10">
        <v>59.707655911824418</v>
      </c>
    </row>
    <row r="20" spans="1:20" ht="27.95" customHeight="1" x14ac:dyDescent="0.25">
      <c r="A20" s="55" t="s">
        <v>310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</row>
    <row r="21" spans="1:20" ht="3.9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3" spans="1:20" ht="30" x14ac:dyDescent="0.25">
      <c r="A23" s="9" t="s">
        <v>59</v>
      </c>
      <c r="B23" s="9" t="s">
        <v>60</v>
      </c>
      <c r="C23" s="9" t="s">
        <v>292</v>
      </c>
      <c r="D23" s="9" t="s">
        <v>24</v>
      </c>
      <c r="E23" s="9" t="s">
        <v>61</v>
      </c>
      <c r="F23" s="9" t="s">
        <v>62</v>
      </c>
      <c r="G23" s="9" t="s">
        <v>293</v>
      </c>
      <c r="H23" s="9" t="s">
        <v>294</v>
      </c>
      <c r="I23" s="9" t="s">
        <v>295</v>
      </c>
      <c r="J23" s="9" t="s">
        <v>296</v>
      </c>
      <c r="K23" s="9" t="s">
        <v>297</v>
      </c>
      <c r="L23" s="9" t="s">
        <v>298</v>
      </c>
      <c r="M23" s="9" t="s">
        <v>299</v>
      </c>
    </row>
    <row r="24" spans="1:20" x14ac:dyDescent="0.25">
      <c r="A24" s="6">
        <v>4</v>
      </c>
      <c r="B24" s="6" t="s">
        <v>95</v>
      </c>
      <c r="C24" s="6" t="s">
        <v>300</v>
      </c>
      <c r="D24" s="6" t="s">
        <v>28</v>
      </c>
      <c r="E24" s="6" t="s">
        <v>29</v>
      </c>
      <c r="F24" s="6" t="s">
        <v>96</v>
      </c>
      <c r="G24" s="10">
        <v>0</v>
      </c>
      <c r="H24" s="10">
        <v>25.883333333333329</v>
      </c>
      <c r="I24" s="10">
        <v>8.15</v>
      </c>
      <c r="J24" s="10">
        <v>8.0166666666666675</v>
      </c>
      <c r="K24" s="10">
        <v>55.883333333333333</v>
      </c>
      <c r="L24" s="10">
        <v>40.116666666666667</v>
      </c>
      <c r="M24" s="10">
        <v>102.3936333333333</v>
      </c>
    </row>
    <row r="25" spans="1:20" x14ac:dyDescent="0.25">
      <c r="A25" s="8">
        <v>4</v>
      </c>
      <c r="B25" s="8" t="s">
        <v>95</v>
      </c>
      <c r="C25" s="8" t="s">
        <v>301</v>
      </c>
      <c r="D25" s="8" t="s">
        <v>28</v>
      </c>
      <c r="E25" s="8" t="s">
        <v>29</v>
      </c>
      <c r="F25" s="8" t="s">
        <v>96</v>
      </c>
      <c r="G25" s="11">
        <v>0</v>
      </c>
      <c r="H25" s="11">
        <v>69.483333333333334</v>
      </c>
      <c r="I25" s="11">
        <v>9.9499999999999993</v>
      </c>
      <c r="J25" s="11">
        <v>1.716666666666667</v>
      </c>
      <c r="K25" s="11">
        <v>25.133333333333329</v>
      </c>
      <c r="L25" s="11">
        <v>23.43333333333333</v>
      </c>
      <c r="M25" s="11">
        <v>144.6333333333333</v>
      </c>
    </row>
    <row r="26" spans="1:20" x14ac:dyDescent="0.25">
      <c r="A26" s="6">
        <v>11</v>
      </c>
      <c r="B26" s="6" t="s">
        <v>129</v>
      </c>
      <c r="C26" s="6" t="s">
        <v>300</v>
      </c>
      <c r="D26" s="6" t="s">
        <v>28</v>
      </c>
      <c r="E26" s="6" t="s">
        <v>29</v>
      </c>
      <c r="F26" s="6" t="s">
        <v>130</v>
      </c>
      <c r="G26" s="10">
        <v>0</v>
      </c>
      <c r="H26" s="10">
        <v>43.485533333333343</v>
      </c>
      <c r="I26" s="10">
        <v>7.55</v>
      </c>
      <c r="J26" s="10">
        <v>4.0999999999999996</v>
      </c>
      <c r="K26" s="10">
        <v>52.5</v>
      </c>
      <c r="L26" s="10">
        <v>37.471449999999997</v>
      </c>
      <c r="M26" s="10">
        <v>96.266666666666666</v>
      </c>
    </row>
    <row r="27" spans="1:20" x14ac:dyDescent="0.25">
      <c r="A27" s="8">
        <v>11</v>
      </c>
      <c r="B27" s="8" t="s">
        <v>129</v>
      </c>
      <c r="C27" s="8" t="s">
        <v>301</v>
      </c>
      <c r="D27" s="8" t="s">
        <v>28</v>
      </c>
      <c r="E27" s="8" t="s">
        <v>29</v>
      </c>
      <c r="F27" s="8" t="s">
        <v>130</v>
      </c>
      <c r="G27" s="11">
        <v>0</v>
      </c>
      <c r="H27" s="11">
        <v>36.983333333333327</v>
      </c>
      <c r="I27" s="11">
        <v>4.5</v>
      </c>
      <c r="J27" s="11">
        <v>1.6166666666666669</v>
      </c>
      <c r="K27" s="11">
        <v>42.43333333333333</v>
      </c>
      <c r="L27" s="11">
        <v>34.950000000000003</v>
      </c>
      <c r="M27" s="11">
        <v>121.1324333333333</v>
      </c>
    </row>
    <row r="28" spans="1:20" x14ac:dyDescent="0.25">
      <c r="A28" s="6">
        <v>18</v>
      </c>
      <c r="B28" s="6" t="s">
        <v>162</v>
      </c>
      <c r="C28" s="6" t="s">
        <v>300</v>
      </c>
      <c r="D28" s="6" t="s">
        <v>28</v>
      </c>
      <c r="E28" s="6" t="s">
        <v>29</v>
      </c>
      <c r="F28" s="6" t="s">
        <v>96</v>
      </c>
      <c r="G28" s="10">
        <v>0</v>
      </c>
      <c r="H28" s="10">
        <v>30.18333333333333</v>
      </c>
      <c r="I28" s="10">
        <v>12.0548</v>
      </c>
      <c r="J28" s="10">
        <v>2.1</v>
      </c>
      <c r="K28" s="10">
        <v>43.833333333333343</v>
      </c>
      <c r="L28" s="10">
        <v>30.25</v>
      </c>
      <c r="M28" s="10">
        <v>87.221950000000007</v>
      </c>
    </row>
    <row r="29" spans="1:20" x14ac:dyDescent="0.25">
      <c r="A29" s="8">
        <v>18</v>
      </c>
      <c r="B29" s="8" t="s">
        <v>162</v>
      </c>
      <c r="C29" s="8" t="s">
        <v>301</v>
      </c>
      <c r="D29" s="8" t="s">
        <v>28</v>
      </c>
      <c r="E29" s="8" t="s">
        <v>29</v>
      </c>
      <c r="F29" s="8" t="s">
        <v>96</v>
      </c>
      <c r="G29" s="11">
        <v>0</v>
      </c>
      <c r="H29" s="11">
        <v>31.8</v>
      </c>
      <c r="I29" s="11">
        <v>0</v>
      </c>
      <c r="J29" s="11">
        <v>1.5</v>
      </c>
      <c r="K29" s="11">
        <v>30.466666666666669</v>
      </c>
      <c r="L29" s="11">
        <v>23</v>
      </c>
      <c r="M29" s="11">
        <v>134.3833333333333</v>
      </c>
    </row>
    <row r="30" spans="1:20" x14ac:dyDescent="0.25">
      <c r="A30" s="6">
        <v>23</v>
      </c>
      <c r="B30" s="6" t="s">
        <v>176</v>
      </c>
      <c r="C30" s="6" t="s">
        <v>300</v>
      </c>
      <c r="D30" s="6" t="s">
        <v>28</v>
      </c>
      <c r="E30" s="6" t="s">
        <v>29</v>
      </c>
      <c r="F30" s="6" t="s">
        <v>130</v>
      </c>
      <c r="G30" s="10">
        <v>0</v>
      </c>
      <c r="H30" s="10">
        <v>24.65</v>
      </c>
      <c r="I30" s="10">
        <v>10.13448333333333</v>
      </c>
      <c r="J30" s="10">
        <v>2.1</v>
      </c>
      <c r="K30" s="10">
        <v>53.916666666666657</v>
      </c>
      <c r="L30" s="10">
        <v>40.75</v>
      </c>
      <c r="M30" s="10">
        <v>91.5</v>
      </c>
    </row>
    <row r="31" spans="1:20" x14ac:dyDescent="0.25">
      <c r="A31" s="8">
        <v>23</v>
      </c>
      <c r="B31" s="8" t="s">
        <v>176</v>
      </c>
      <c r="C31" s="8" t="s">
        <v>301</v>
      </c>
      <c r="D31" s="8" t="s">
        <v>28</v>
      </c>
      <c r="E31" s="8" t="s">
        <v>29</v>
      </c>
      <c r="F31" s="8" t="s">
        <v>130</v>
      </c>
      <c r="G31" s="11">
        <v>0</v>
      </c>
      <c r="H31" s="11">
        <v>23.716666666666669</v>
      </c>
      <c r="I31" s="11">
        <v>4.4333333333333336</v>
      </c>
      <c r="J31" s="11">
        <v>9.5500000000000007</v>
      </c>
      <c r="K31" s="11">
        <v>50.65</v>
      </c>
      <c r="L31" s="11">
        <v>34.233333333333327</v>
      </c>
      <c r="M31" s="11">
        <v>109.3</v>
      </c>
    </row>
    <row r="32" spans="1:20" x14ac:dyDescent="0.25">
      <c r="A32" s="6">
        <v>28</v>
      </c>
      <c r="B32" s="6" t="s">
        <v>188</v>
      </c>
      <c r="C32" s="6" t="s">
        <v>300</v>
      </c>
      <c r="D32" s="6" t="s">
        <v>28</v>
      </c>
      <c r="E32" s="6" t="s">
        <v>29</v>
      </c>
      <c r="F32" s="6" t="s">
        <v>96</v>
      </c>
      <c r="G32" s="10">
        <v>0</v>
      </c>
      <c r="H32" s="10">
        <v>8.9333333333333336</v>
      </c>
      <c r="I32" s="10">
        <v>5.4188666666666672</v>
      </c>
      <c r="J32" s="10">
        <v>0</v>
      </c>
      <c r="K32" s="10">
        <v>46.883333333333333</v>
      </c>
      <c r="L32" s="10">
        <v>35.666666666666657</v>
      </c>
      <c r="M32" s="10">
        <v>98.5</v>
      </c>
    </row>
    <row r="33" spans="1:13" x14ac:dyDescent="0.25">
      <c r="A33" s="8">
        <v>28</v>
      </c>
      <c r="B33" s="8" t="s">
        <v>188</v>
      </c>
      <c r="C33" s="8" t="s">
        <v>301</v>
      </c>
      <c r="D33" s="8" t="s">
        <v>28</v>
      </c>
      <c r="E33" s="8" t="s">
        <v>29</v>
      </c>
      <c r="F33" s="8" t="s">
        <v>96</v>
      </c>
      <c r="G33" s="11">
        <v>0</v>
      </c>
      <c r="H33" s="11">
        <v>71.083333333333329</v>
      </c>
      <c r="I33" s="11">
        <v>4.05</v>
      </c>
      <c r="J33" s="11">
        <v>9.2465500000000009</v>
      </c>
      <c r="K33" s="11">
        <v>38.68333333333333</v>
      </c>
      <c r="L33" s="11">
        <v>26.81666666666667</v>
      </c>
      <c r="M33" s="11">
        <v>116.98333333333331</v>
      </c>
    </row>
    <row r="34" spans="1:13" x14ac:dyDescent="0.25">
      <c r="A34" s="6">
        <v>31</v>
      </c>
      <c r="B34" s="6" t="s">
        <v>198</v>
      </c>
      <c r="C34" s="6" t="s">
        <v>300</v>
      </c>
      <c r="D34" s="6" t="s">
        <v>28</v>
      </c>
      <c r="E34" s="6" t="s">
        <v>29</v>
      </c>
      <c r="F34" s="6" t="s">
        <v>130</v>
      </c>
      <c r="G34" s="10">
        <v>0</v>
      </c>
      <c r="H34" s="10">
        <v>29.483333333333331</v>
      </c>
      <c r="I34" s="10">
        <v>0.1105833333333333</v>
      </c>
      <c r="J34" s="10">
        <v>5.2666666666666666</v>
      </c>
      <c r="K34" s="10">
        <v>45.483333333333327</v>
      </c>
      <c r="L34" s="10">
        <v>28.733333333333331</v>
      </c>
      <c r="M34" s="10">
        <v>78.575700000000012</v>
      </c>
    </row>
    <row r="35" spans="1:13" x14ac:dyDescent="0.25">
      <c r="A35" s="8">
        <v>31</v>
      </c>
      <c r="B35" s="8" t="s">
        <v>198</v>
      </c>
      <c r="C35" s="8" t="s">
        <v>301</v>
      </c>
      <c r="D35" s="8" t="s">
        <v>28</v>
      </c>
      <c r="E35" s="8" t="s">
        <v>29</v>
      </c>
      <c r="F35" s="8" t="s">
        <v>130</v>
      </c>
      <c r="G35" s="11">
        <v>0</v>
      </c>
      <c r="H35" s="11">
        <v>21.383333333333329</v>
      </c>
      <c r="I35" s="11">
        <v>1</v>
      </c>
      <c r="J35" s="11">
        <v>0</v>
      </c>
      <c r="K35" s="11">
        <v>39.18333333333333</v>
      </c>
      <c r="L35" s="11">
        <v>30.466666666666669</v>
      </c>
      <c r="M35" s="11">
        <v>102.92506666666669</v>
      </c>
    </row>
    <row r="36" spans="1:13" x14ac:dyDescent="0.25">
      <c r="A36" s="6">
        <v>38</v>
      </c>
      <c r="B36" s="6" t="s">
        <v>223</v>
      </c>
      <c r="C36" s="6" t="s">
        <v>300</v>
      </c>
      <c r="D36" s="6" t="s">
        <v>28</v>
      </c>
      <c r="E36" s="6" t="s">
        <v>31</v>
      </c>
      <c r="F36" s="6" t="s">
        <v>31</v>
      </c>
      <c r="G36" s="10">
        <v>50.366666666666667</v>
      </c>
      <c r="H36" s="10">
        <v>8.3666666666666671</v>
      </c>
      <c r="I36" s="10">
        <v>17.350000000000001</v>
      </c>
      <c r="J36" s="10">
        <v>4.75</v>
      </c>
      <c r="K36" s="10">
        <v>75.683333333333337</v>
      </c>
      <c r="L36" s="10">
        <v>57.18333333333333</v>
      </c>
      <c r="M36" s="10">
        <v>181.3</v>
      </c>
    </row>
    <row r="37" spans="1:13" x14ac:dyDescent="0.25">
      <c r="A37" s="8">
        <v>38</v>
      </c>
      <c r="B37" s="8" t="s">
        <v>223</v>
      </c>
      <c r="C37" s="8" t="s">
        <v>301</v>
      </c>
      <c r="D37" s="8" t="s">
        <v>28</v>
      </c>
      <c r="E37" s="8" t="s">
        <v>31</v>
      </c>
      <c r="F37" s="8" t="s">
        <v>31</v>
      </c>
      <c r="G37" s="11">
        <v>0</v>
      </c>
      <c r="H37" s="11">
        <v>42.65</v>
      </c>
      <c r="I37" s="11">
        <v>4.45</v>
      </c>
      <c r="J37" s="11">
        <v>12.016666666666669</v>
      </c>
      <c r="K37" s="11">
        <v>57.411516666666657</v>
      </c>
      <c r="L37" s="11">
        <v>49.6</v>
      </c>
      <c r="M37" s="11">
        <v>208.83333333333329</v>
      </c>
    </row>
    <row r="38" spans="1:13" x14ac:dyDescent="0.25">
      <c r="A38" s="6">
        <v>42</v>
      </c>
      <c r="B38" s="6" t="s">
        <v>242</v>
      </c>
      <c r="C38" s="6" t="s">
        <v>300</v>
      </c>
      <c r="D38" s="6" t="s">
        <v>28</v>
      </c>
      <c r="E38" s="6" t="s">
        <v>33</v>
      </c>
      <c r="F38" s="6" t="s">
        <v>33</v>
      </c>
      <c r="G38" s="10">
        <v>63.2</v>
      </c>
      <c r="H38" s="10">
        <v>14.516666666666669</v>
      </c>
      <c r="I38" s="10">
        <v>29.516666666666669</v>
      </c>
      <c r="J38" s="10">
        <v>6.8833333333333337</v>
      </c>
      <c r="K38" s="10">
        <v>69.25</v>
      </c>
      <c r="L38" s="10">
        <v>57.887300000000003</v>
      </c>
      <c r="M38" s="10">
        <v>164.51666666666671</v>
      </c>
    </row>
    <row r="39" spans="1:13" x14ac:dyDescent="0.25">
      <c r="A39" s="8">
        <v>42</v>
      </c>
      <c r="B39" s="8" t="s">
        <v>242</v>
      </c>
      <c r="C39" s="8" t="s">
        <v>301</v>
      </c>
      <c r="D39" s="8" t="s">
        <v>28</v>
      </c>
      <c r="E39" s="8" t="s">
        <v>33</v>
      </c>
      <c r="F39" s="8" t="s">
        <v>33</v>
      </c>
      <c r="G39" s="11">
        <v>0</v>
      </c>
      <c r="H39" s="11">
        <v>20.583333333333329</v>
      </c>
      <c r="I39" s="11">
        <v>2.833333333333333</v>
      </c>
      <c r="J39" s="11">
        <v>4</v>
      </c>
      <c r="K39" s="11">
        <v>45.56666666666667</v>
      </c>
      <c r="L39" s="11">
        <v>33.783333333333331</v>
      </c>
      <c r="M39" s="11">
        <v>218.63815</v>
      </c>
    </row>
    <row r="40" spans="1:13" x14ac:dyDescent="0.25">
      <c r="A40" s="6">
        <v>48</v>
      </c>
      <c r="B40" s="6" t="s">
        <v>269</v>
      </c>
      <c r="C40" s="6" t="s">
        <v>300</v>
      </c>
      <c r="D40" s="6" t="s">
        <v>28</v>
      </c>
      <c r="E40" s="6" t="s">
        <v>33</v>
      </c>
      <c r="F40" s="6" t="s">
        <v>33</v>
      </c>
      <c r="G40" s="10">
        <v>0</v>
      </c>
      <c r="H40" s="10">
        <v>65.983333333333334</v>
      </c>
      <c r="I40" s="10">
        <v>30.533333333333331</v>
      </c>
      <c r="J40" s="10">
        <v>6.3833333333333337</v>
      </c>
      <c r="K40" s="10">
        <v>76.566666666666663</v>
      </c>
      <c r="L40" s="10">
        <v>59.983333333333327</v>
      </c>
      <c r="M40" s="10">
        <v>171.2833333333333</v>
      </c>
    </row>
    <row r="41" spans="1:13" x14ac:dyDescent="0.25">
      <c r="A41" s="8">
        <v>48</v>
      </c>
      <c r="B41" s="8" t="s">
        <v>269</v>
      </c>
      <c r="C41" s="8" t="s">
        <v>301</v>
      </c>
      <c r="D41" s="8" t="s">
        <v>28</v>
      </c>
      <c r="E41" s="8" t="s">
        <v>33</v>
      </c>
      <c r="F41" s="8" t="s">
        <v>33</v>
      </c>
      <c r="G41" s="11">
        <v>0</v>
      </c>
      <c r="H41" s="11">
        <v>35.4</v>
      </c>
      <c r="I41" s="11">
        <v>6.3166666666666664</v>
      </c>
      <c r="J41" s="11">
        <v>10.35</v>
      </c>
      <c r="K41" s="11">
        <v>65.8</v>
      </c>
      <c r="L41" s="11">
        <v>46.880533333333332</v>
      </c>
      <c r="M41" s="11">
        <v>183.4</v>
      </c>
    </row>
    <row r="42" spans="1:13" x14ac:dyDescent="0.25">
      <c r="A42" s="6">
        <v>51</v>
      </c>
      <c r="B42" s="6" t="s">
        <v>281</v>
      </c>
      <c r="C42" s="6" t="s">
        <v>300</v>
      </c>
      <c r="D42" s="6" t="s">
        <v>28</v>
      </c>
      <c r="E42" s="6" t="s">
        <v>29</v>
      </c>
      <c r="F42" s="6" t="s">
        <v>96</v>
      </c>
      <c r="G42" s="10">
        <v>0</v>
      </c>
      <c r="H42" s="10">
        <v>35.56666666666667</v>
      </c>
      <c r="I42" s="10">
        <v>30.984083333333331</v>
      </c>
      <c r="J42" s="10">
        <v>3.3</v>
      </c>
      <c r="K42" s="10">
        <v>67.480850000000004</v>
      </c>
      <c r="L42" s="10">
        <v>48.56666666666667</v>
      </c>
      <c r="M42" s="10">
        <v>79.916666666666671</v>
      </c>
    </row>
    <row r="43" spans="1:13" x14ac:dyDescent="0.25">
      <c r="A43" s="8">
        <v>51</v>
      </c>
      <c r="B43" s="8" t="s">
        <v>281</v>
      </c>
      <c r="C43" s="8" t="s">
        <v>301</v>
      </c>
      <c r="D43" s="8" t="s">
        <v>28</v>
      </c>
      <c r="E43" s="8" t="s">
        <v>29</v>
      </c>
      <c r="F43" s="8" t="s">
        <v>96</v>
      </c>
      <c r="G43" s="11">
        <v>0</v>
      </c>
      <c r="H43" s="11">
        <v>48.18333333333333</v>
      </c>
      <c r="I43" s="11">
        <v>17.666666666666671</v>
      </c>
      <c r="J43" s="11">
        <v>10.233333333333331</v>
      </c>
      <c r="K43" s="11">
        <v>51.033333333333331</v>
      </c>
      <c r="L43" s="11">
        <v>37.133333333333333</v>
      </c>
      <c r="M43" s="11">
        <v>121.31666666666671</v>
      </c>
    </row>
    <row r="44" spans="1:13" x14ac:dyDescent="0.25">
      <c r="A44" s="6">
        <v>52</v>
      </c>
      <c r="B44" s="6" t="s">
        <v>283</v>
      </c>
      <c r="C44" s="6" t="s">
        <v>300</v>
      </c>
      <c r="D44" s="6" t="s">
        <v>28</v>
      </c>
      <c r="E44" s="6" t="s">
        <v>29</v>
      </c>
      <c r="F44" s="6" t="s">
        <v>130</v>
      </c>
      <c r="G44" s="10">
        <v>0</v>
      </c>
      <c r="H44" s="10">
        <v>35.1</v>
      </c>
      <c r="I44" s="10">
        <v>15.116666666666671</v>
      </c>
      <c r="J44" s="10">
        <v>6.6</v>
      </c>
      <c r="K44" s="10">
        <v>73.302949999999996</v>
      </c>
      <c r="L44" s="10">
        <v>55.483333333333327</v>
      </c>
      <c r="M44" s="10">
        <v>78.349999999999994</v>
      </c>
    </row>
    <row r="45" spans="1:13" x14ac:dyDescent="0.25">
      <c r="A45" s="8">
        <v>52</v>
      </c>
      <c r="B45" s="8" t="s">
        <v>283</v>
      </c>
      <c r="C45" s="8" t="s">
        <v>301</v>
      </c>
      <c r="D45" s="8" t="s">
        <v>28</v>
      </c>
      <c r="E45" s="8" t="s">
        <v>29</v>
      </c>
      <c r="F45" s="8" t="s">
        <v>130</v>
      </c>
      <c r="G45" s="11">
        <v>0</v>
      </c>
      <c r="H45" s="11">
        <v>26.333333333333329</v>
      </c>
      <c r="I45" s="11">
        <v>10.016666666666669</v>
      </c>
      <c r="J45" s="11">
        <v>14.15</v>
      </c>
      <c r="K45" s="11">
        <v>51.266666666666673</v>
      </c>
      <c r="L45" s="11">
        <v>41.040366666666657</v>
      </c>
      <c r="M45" s="11">
        <v>143.5333333333333</v>
      </c>
    </row>
    <row r="46" spans="1:13" x14ac:dyDescent="0.25">
      <c r="A46" s="6">
        <v>53</v>
      </c>
      <c r="B46" s="6" t="s">
        <v>287</v>
      </c>
      <c r="C46" s="6" t="s">
        <v>300</v>
      </c>
      <c r="D46" s="6" t="s">
        <v>28</v>
      </c>
      <c r="E46" s="6" t="s">
        <v>31</v>
      </c>
      <c r="F46" s="6" t="s">
        <v>31</v>
      </c>
      <c r="G46" s="10">
        <v>44.68333333333333</v>
      </c>
      <c r="H46" s="10">
        <v>6.6833333333333336</v>
      </c>
      <c r="I46" s="10">
        <v>11.75</v>
      </c>
      <c r="J46" s="10">
        <v>2.0166666666666671</v>
      </c>
      <c r="K46" s="10">
        <v>64.3</v>
      </c>
      <c r="L46" s="10">
        <v>51.866666666666667</v>
      </c>
      <c r="M46" s="10">
        <v>172.54785000000001</v>
      </c>
    </row>
    <row r="47" spans="1:13" x14ac:dyDescent="0.25">
      <c r="A47" s="8">
        <v>53</v>
      </c>
      <c r="B47" s="8" t="s">
        <v>287</v>
      </c>
      <c r="C47" s="8" t="s">
        <v>301</v>
      </c>
      <c r="D47" s="8" t="s">
        <v>28</v>
      </c>
      <c r="E47" s="8" t="s">
        <v>31</v>
      </c>
      <c r="F47" s="8" t="s">
        <v>31</v>
      </c>
      <c r="G47" s="11">
        <v>0</v>
      </c>
      <c r="H47" s="11">
        <v>3.0166666666666671</v>
      </c>
      <c r="I47" s="11">
        <v>4.3</v>
      </c>
      <c r="J47" s="11">
        <v>1.8833333333333331</v>
      </c>
      <c r="K47" s="11">
        <v>48.913433333333337</v>
      </c>
      <c r="L47" s="11">
        <v>35.333333333333343</v>
      </c>
      <c r="M47" s="11">
        <v>224.5</v>
      </c>
    </row>
    <row r="48" spans="1:13" x14ac:dyDescent="0.25">
      <c r="A48" s="6">
        <v>54</v>
      </c>
      <c r="B48" s="6" t="s">
        <v>289</v>
      </c>
      <c r="C48" s="6" t="s">
        <v>300</v>
      </c>
      <c r="D48" s="6" t="s">
        <v>28</v>
      </c>
      <c r="E48" s="6" t="s">
        <v>33</v>
      </c>
      <c r="F48" s="6" t="s">
        <v>33</v>
      </c>
      <c r="G48" s="10">
        <v>34.833333333333343</v>
      </c>
      <c r="H48" s="10">
        <v>58.166666666666657</v>
      </c>
      <c r="I48" s="10">
        <v>21.679983333333329</v>
      </c>
      <c r="J48" s="10">
        <v>8</v>
      </c>
      <c r="K48" s="10">
        <v>64.5</v>
      </c>
      <c r="L48" s="10">
        <v>53.652149999999999</v>
      </c>
      <c r="M48" s="10">
        <v>176.5333333333333</v>
      </c>
    </row>
    <row r="49" spans="1:13" x14ac:dyDescent="0.25">
      <c r="A49" s="8">
        <v>54</v>
      </c>
      <c r="B49" s="8" t="s">
        <v>289</v>
      </c>
      <c r="C49" s="8" t="s">
        <v>301</v>
      </c>
      <c r="D49" s="8" t="s">
        <v>28</v>
      </c>
      <c r="E49" s="8" t="s">
        <v>33</v>
      </c>
      <c r="F49" s="8" t="s">
        <v>33</v>
      </c>
      <c r="G49" s="11">
        <v>0</v>
      </c>
      <c r="H49" s="11">
        <v>24.31666666666667</v>
      </c>
      <c r="I49" s="11">
        <v>2.666666666666667</v>
      </c>
      <c r="J49" s="11">
        <v>5.6833333333333336</v>
      </c>
      <c r="K49" s="11">
        <v>44.466666666666669</v>
      </c>
      <c r="L49" s="11">
        <v>32.450000000000003</v>
      </c>
      <c r="M49" s="11">
        <v>243.15</v>
      </c>
    </row>
    <row r="52" spans="1:13" ht="27.95" customHeight="1" x14ac:dyDescent="0.25">
      <c r="A52" s="55" t="s">
        <v>311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</row>
    <row r="53" spans="1:13" ht="3.9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5" spans="1:13" ht="30" x14ac:dyDescent="0.25">
      <c r="A55" s="9" t="s">
        <v>59</v>
      </c>
      <c r="B55" s="9" t="s">
        <v>60</v>
      </c>
      <c r="C55" s="9" t="s">
        <v>292</v>
      </c>
      <c r="D55" s="9" t="s">
        <v>24</v>
      </c>
      <c r="E55" s="9" t="s">
        <v>61</v>
      </c>
      <c r="F55" s="9" t="s">
        <v>62</v>
      </c>
      <c r="G55" s="9" t="s">
        <v>293</v>
      </c>
      <c r="H55" s="9" t="s">
        <v>294</v>
      </c>
      <c r="I55" s="9" t="s">
        <v>295</v>
      </c>
      <c r="J55" s="9" t="s">
        <v>296</v>
      </c>
      <c r="K55" s="9" t="s">
        <v>297</v>
      </c>
      <c r="L55" s="9" t="s">
        <v>298</v>
      </c>
      <c r="M55" s="9" t="s">
        <v>299</v>
      </c>
    </row>
    <row r="56" spans="1:13" x14ac:dyDescent="0.25">
      <c r="A56" s="6">
        <v>4</v>
      </c>
      <c r="B56" s="6" t="s">
        <v>95</v>
      </c>
      <c r="C56" s="6" t="s">
        <v>300</v>
      </c>
      <c r="D56" s="6" t="s">
        <v>28</v>
      </c>
      <c r="E56" s="6" t="s">
        <v>29</v>
      </c>
      <c r="F56" s="6" t="s">
        <v>96</v>
      </c>
      <c r="G56" s="10">
        <v>0</v>
      </c>
      <c r="H56" s="10">
        <v>0.35568686098748031</v>
      </c>
      <c r="I56" s="10">
        <v>0.57585003194744566</v>
      </c>
      <c r="J56" s="10">
        <v>0.62657519758941227</v>
      </c>
      <c r="K56" s="10">
        <v>44.777394576317398</v>
      </c>
      <c r="L56" s="10">
        <v>31.030770141318762</v>
      </c>
      <c r="M56" s="10">
        <v>70.832492215617009</v>
      </c>
    </row>
    <row r="57" spans="1:13" x14ac:dyDescent="0.25">
      <c r="A57" s="8">
        <v>4</v>
      </c>
      <c r="B57" s="8" t="s">
        <v>95</v>
      </c>
      <c r="C57" s="8" t="s">
        <v>301</v>
      </c>
      <c r="D57" s="8" t="s">
        <v>28</v>
      </c>
      <c r="E57" s="8" t="s">
        <v>29</v>
      </c>
      <c r="F57" s="8" t="s">
        <v>96</v>
      </c>
      <c r="G57" s="11">
        <v>0</v>
      </c>
      <c r="H57" s="11">
        <v>0.83987814360898194</v>
      </c>
      <c r="I57" s="11">
        <v>1.7979996304002079</v>
      </c>
      <c r="J57" s="11">
        <v>0.57590785271071809</v>
      </c>
      <c r="K57" s="11">
        <v>16.043682536598411</v>
      </c>
      <c r="L57" s="11">
        <v>16.779596658523619</v>
      </c>
      <c r="M57" s="11">
        <v>112.0883548622644</v>
      </c>
    </row>
    <row r="58" spans="1:13" x14ac:dyDescent="0.25">
      <c r="A58" s="6">
        <v>11</v>
      </c>
      <c r="B58" s="6" t="s">
        <v>129</v>
      </c>
      <c r="C58" s="6" t="s">
        <v>300</v>
      </c>
      <c r="D58" s="6" t="s">
        <v>28</v>
      </c>
      <c r="E58" s="6" t="s">
        <v>29</v>
      </c>
      <c r="F58" s="6" t="s">
        <v>130</v>
      </c>
      <c r="G58" s="10">
        <v>0</v>
      </c>
      <c r="H58" s="10">
        <v>1.3321013582624259</v>
      </c>
      <c r="I58" s="10">
        <v>0.75410540916294477</v>
      </c>
      <c r="J58" s="10">
        <v>0.43943113160824449</v>
      </c>
      <c r="K58" s="10">
        <v>42.768056236857731</v>
      </c>
      <c r="L58" s="10">
        <v>29.775024172432051</v>
      </c>
      <c r="M58" s="10">
        <v>68.609609149335569</v>
      </c>
    </row>
    <row r="59" spans="1:13" x14ac:dyDescent="0.25">
      <c r="A59" s="8">
        <v>11</v>
      </c>
      <c r="B59" s="8" t="s">
        <v>129</v>
      </c>
      <c r="C59" s="8" t="s">
        <v>301</v>
      </c>
      <c r="D59" s="8" t="s">
        <v>28</v>
      </c>
      <c r="E59" s="8" t="s">
        <v>29</v>
      </c>
      <c r="F59" s="8" t="s">
        <v>130</v>
      </c>
      <c r="G59" s="11">
        <v>0</v>
      </c>
      <c r="H59" s="11">
        <v>0.43407803900839542</v>
      </c>
      <c r="I59" s="11">
        <v>2.0389552164336071</v>
      </c>
      <c r="J59" s="11">
        <v>0.27011205530314503</v>
      </c>
      <c r="K59" s="11">
        <v>30.597979144685119</v>
      </c>
      <c r="L59" s="11">
        <v>25.113544257186629</v>
      </c>
      <c r="M59" s="11">
        <v>85.251434402970759</v>
      </c>
    </row>
    <row r="60" spans="1:13" x14ac:dyDescent="0.25">
      <c r="A60" s="6">
        <v>18</v>
      </c>
      <c r="B60" s="6" t="s">
        <v>162</v>
      </c>
      <c r="C60" s="6" t="s">
        <v>300</v>
      </c>
      <c r="D60" s="6" t="s">
        <v>28</v>
      </c>
      <c r="E60" s="6" t="s">
        <v>29</v>
      </c>
      <c r="F60" s="6" t="s">
        <v>96</v>
      </c>
      <c r="G60" s="10">
        <v>0</v>
      </c>
      <c r="H60" s="10">
        <v>0.38306581509713777</v>
      </c>
      <c r="I60" s="10">
        <v>2.078327234216284</v>
      </c>
      <c r="J60" s="10">
        <v>0.20461421027387261</v>
      </c>
      <c r="K60" s="10">
        <v>36.808470594235978</v>
      </c>
      <c r="L60" s="10">
        <v>24.895439135578741</v>
      </c>
      <c r="M60" s="10">
        <v>77.229137978621239</v>
      </c>
    </row>
    <row r="61" spans="1:13" x14ac:dyDescent="0.25">
      <c r="A61" s="8">
        <v>18</v>
      </c>
      <c r="B61" s="8" t="s">
        <v>162</v>
      </c>
      <c r="C61" s="8" t="s">
        <v>301</v>
      </c>
      <c r="D61" s="8" t="s">
        <v>28</v>
      </c>
      <c r="E61" s="8" t="s">
        <v>29</v>
      </c>
      <c r="F61" s="8" t="s">
        <v>96</v>
      </c>
      <c r="G61" s="11">
        <v>0</v>
      </c>
      <c r="H61" s="11">
        <v>0.22156090055420241</v>
      </c>
      <c r="I61" s="11">
        <v>0</v>
      </c>
      <c r="J61" s="11">
        <v>0.11647473715777031</v>
      </c>
      <c r="K61" s="11">
        <v>21.52025885865341</v>
      </c>
      <c r="L61" s="11">
        <v>17.069852156212249</v>
      </c>
      <c r="M61" s="11">
        <v>102.738159054381</v>
      </c>
    </row>
    <row r="62" spans="1:13" x14ac:dyDescent="0.25">
      <c r="A62" s="6">
        <v>23</v>
      </c>
      <c r="B62" s="6" t="s">
        <v>176</v>
      </c>
      <c r="C62" s="6" t="s">
        <v>300</v>
      </c>
      <c r="D62" s="6" t="s">
        <v>28</v>
      </c>
      <c r="E62" s="6" t="s">
        <v>29</v>
      </c>
      <c r="F62" s="6" t="s">
        <v>130</v>
      </c>
      <c r="G62" s="10">
        <v>0</v>
      </c>
      <c r="H62" s="10">
        <v>0.34290254186703961</v>
      </c>
      <c r="I62" s="10">
        <v>1.0454776733830049</v>
      </c>
      <c r="J62" s="10">
        <v>0.40432001006129498</v>
      </c>
      <c r="K62" s="10">
        <v>41.471081570571563</v>
      </c>
      <c r="L62" s="10">
        <v>30.614880435193118</v>
      </c>
      <c r="M62" s="10">
        <v>63.969189047693213</v>
      </c>
    </row>
    <row r="63" spans="1:13" x14ac:dyDescent="0.25">
      <c r="A63" s="8">
        <v>23</v>
      </c>
      <c r="B63" s="8" t="s">
        <v>176</v>
      </c>
      <c r="C63" s="8" t="s">
        <v>301</v>
      </c>
      <c r="D63" s="8" t="s">
        <v>28</v>
      </c>
      <c r="E63" s="8" t="s">
        <v>29</v>
      </c>
      <c r="F63" s="8" t="s">
        <v>130</v>
      </c>
      <c r="G63" s="11">
        <v>0</v>
      </c>
      <c r="H63" s="11">
        <v>0.11699904226004509</v>
      </c>
      <c r="I63" s="11">
        <v>0.98289890323061291</v>
      </c>
      <c r="J63" s="11">
        <v>0.76496157447860036</v>
      </c>
      <c r="K63" s="11">
        <v>36.712209444916184</v>
      </c>
      <c r="L63" s="11">
        <v>25.040527354235781</v>
      </c>
      <c r="M63" s="11">
        <v>74.293641117732662</v>
      </c>
    </row>
    <row r="64" spans="1:13" x14ac:dyDescent="0.25">
      <c r="A64" s="6">
        <v>28</v>
      </c>
      <c r="B64" s="6" t="s">
        <v>188</v>
      </c>
      <c r="C64" s="6" t="s">
        <v>300</v>
      </c>
      <c r="D64" s="6" t="s">
        <v>28</v>
      </c>
      <c r="E64" s="6" t="s">
        <v>29</v>
      </c>
      <c r="F64" s="6" t="s">
        <v>96</v>
      </c>
      <c r="G64" s="10">
        <v>0</v>
      </c>
      <c r="H64" s="10">
        <v>0.25917593164792052</v>
      </c>
      <c r="I64" s="10">
        <v>0.70863313939923567</v>
      </c>
      <c r="J64" s="10">
        <v>0</v>
      </c>
      <c r="K64" s="10">
        <v>37.603304668082593</v>
      </c>
      <c r="L64" s="10">
        <v>27.74280476419689</v>
      </c>
      <c r="M64" s="10">
        <v>79.592523770954102</v>
      </c>
    </row>
    <row r="65" spans="1:13" x14ac:dyDescent="0.25">
      <c r="A65" s="8">
        <v>28</v>
      </c>
      <c r="B65" s="8" t="s">
        <v>188</v>
      </c>
      <c r="C65" s="8" t="s">
        <v>301</v>
      </c>
      <c r="D65" s="8" t="s">
        <v>28</v>
      </c>
      <c r="E65" s="8" t="s">
        <v>29</v>
      </c>
      <c r="F65" s="8" t="s">
        <v>96</v>
      </c>
      <c r="G65" s="11">
        <v>0</v>
      </c>
      <c r="H65" s="11">
        <v>0.54905123843358739</v>
      </c>
      <c r="I65" s="11">
        <v>0.55256306869115623</v>
      </c>
      <c r="J65" s="11">
        <v>0.82406643556007364</v>
      </c>
      <c r="K65" s="11">
        <v>27.609909695058061</v>
      </c>
      <c r="L65" s="11">
        <v>19.892928271907479</v>
      </c>
      <c r="M65" s="11">
        <v>96.565811989808935</v>
      </c>
    </row>
    <row r="66" spans="1:13" x14ac:dyDescent="0.25">
      <c r="A66" s="6">
        <v>31</v>
      </c>
      <c r="B66" s="6" t="s">
        <v>198</v>
      </c>
      <c r="C66" s="6" t="s">
        <v>300</v>
      </c>
      <c r="D66" s="6" t="s">
        <v>28</v>
      </c>
      <c r="E66" s="6" t="s">
        <v>29</v>
      </c>
      <c r="F66" s="6" t="s">
        <v>130</v>
      </c>
      <c r="G66" s="10">
        <v>0</v>
      </c>
      <c r="H66" s="10">
        <v>0.42983924609536989</v>
      </c>
      <c r="I66" s="10">
        <v>5.8482869291778893E-2</v>
      </c>
      <c r="J66" s="10">
        <v>0.35482326921949731</v>
      </c>
      <c r="K66" s="10">
        <v>37.109061687706358</v>
      </c>
      <c r="L66" s="10">
        <v>23.384143051110669</v>
      </c>
      <c r="M66" s="10">
        <v>62.656294523540041</v>
      </c>
    </row>
    <row r="67" spans="1:13" x14ac:dyDescent="0.25">
      <c r="A67" s="8">
        <v>31</v>
      </c>
      <c r="B67" s="8" t="s">
        <v>198</v>
      </c>
      <c r="C67" s="8" t="s">
        <v>301</v>
      </c>
      <c r="D67" s="8" t="s">
        <v>28</v>
      </c>
      <c r="E67" s="8" t="s">
        <v>29</v>
      </c>
      <c r="F67" s="8" t="s">
        <v>130</v>
      </c>
      <c r="G67" s="11">
        <v>0</v>
      </c>
      <c r="H67" s="11">
        <v>0.1090721560237224</v>
      </c>
      <c r="I67" s="11">
        <v>0.87783172684814326</v>
      </c>
      <c r="J67" s="11">
        <v>0</v>
      </c>
      <c r="K67" s="11">
        <v>28.213201619757211</v>
      </c>
      <c r="L67" s="11">
        <v>20.93633895165053</v>
      </c>
      <c r="M67" s="11">
        <v>73.843830613428992</v>
      </c>
    </row>
    <row r="68" spans="1:13" x14ac:dyDescent="0.25">
      <c r="A68" s="6">
        <v>38</v>
      </c>
      <c r="B68" s="6" t="s">
        <v>223</v>
      </c>
      <c r="C68" s="6" t="s">
        <v>300</v>
      </c>
      <c r="D68" s="6" t="s">
        <v>28</v>
      </c>
      <c r="E68" s="6" t="s">
        <v>31</v>
      </c>
      <c r="F68" s="6" t="s">
        <v>31</v>
      </c>
      <c r="G68" s="10">
        <v>0.1423627546916193</v>
      </c>
      <c r="H68" s="10">
        <v>0.19087658536061269</v>
      </c>
      <c r="I68" s="10">
        <v>0.1087001286100384</v>
      </c>
      <c r="J68" s="10">
        <v>0.39868431866922599</v>
      </c>
      <c r="K68" s="10">
        <v>67.358249040373622</v>
      </c>
      <c r="L68" s="10">
        <v>52.262791432987221</v>
      </c>
      <c r="M68" s="10">
        <v>205.89310831389679</v>
      </c>
    </row>
    <row r="69" spans="1:13" x14ac:dyDescent="0.25">
      <c r="A69" s="8">
        <v>38</v>
      </c>
      <c r="B69" s="8" t="s">
        <v>223</v>
      </c>
      <c r="C69" s="8" t="s">
        <v>301</v>
      </c>
      <c r="D69" s="8" t="s">
        <v>28</v>
      </c>
      <c r="E69" s="8" t="s">
        <v>31</v>
      </c>
      <c r="F69" s="8" t="s">
        <v>31</v>
      </c>
      <c r="G69" s="11">
        <v>0</v>
      </c>
      <c r="H69" s="11">
        <v>0.54761889554039</v>
      </c>
      <c r="I69" s="11">
        <v>5.0473616639224998E-2</v>
      </c>
      <c r="J69" s="11">
        <v>0.94513627935308775</v>
      </c>
      <c r="K69" s="11">
        <v>50.571016219655441</v>
      </c>
      <c r="L69" s="11">
        <v>45.612596971397018</v>
      </c>
      <c r="M69" s="11">
        <v>228.21925521167481</v>
      </c>
    </row>
    <row r="70" spans="1:13" x14ac:dyDescent="0.25">
      <c r="A70" s="6">
        <v>42</v>
      </c>
      <c r="B70" s="6" t="s">
        <v>242</v>
      </c>
      <c r="C70" s="6" t="s">
        <v>300</v>
      </c>
      <c r="D70" s="6" t="s">
        <v>28</v>
      </c>
      <c r="E70" s="6" t="s">
        <v>33</v>
      </c>
      <c r="F70" s="6" t="s">
        <v>33</v>
      </c>
      <c r="G70" s="10">
        <v>0.1119717603069536</v>
      </c>
      <c r="H70" s="10">
        <v>8.2158448585864255E-2</v>
      </c>
      <c r="I70" s="10">
        <v>1.643615657683831E-2</v>
      </c>
      <c r="J70" s="10">
        <v>0.5125712172728395</v>
      </c>
      <c r="K70" s="10">
        <v>67.117549684267743</v>
      </c>
      <c r="L70" s="10">
        <v>56.356321664556063</v>
      </c>
      <c r="M70" s="10">
        <v>197.66418683099539</v>
      </c>
    </row>
    <row r="71" spans="1:13" x14ac:dyDescent="0.25">
      <c r="A71" s="8">
        <v>42</v>
      </c>
      <c r="B71" s="8" t="s">
        <v>242</v>
      </c>
      <c r="C71" s="8" t="s">
        <v>301</v>
      </c>
      <c r="D71" s="8" t="s">
        <v>28</v>
      </c>
      <c r="E71" s="8" t="s">
        <v>33</v>
      </c>
      <c r="F71" s="8" t="s">
        <v>33</v>
      </c>
      <c r="G71" s="11">
        <v>0</v>
      </c>
      <c r="H71" s="11">
        <v>0.47667835410688608</v>
      </c>
      <c r="I71" s="11">
        <v>1.27297174998127E-2</v>
      </c>
      <c r="J71" s="11">
        <v>0.4202840859765154</v>
      </c>
      <c r="K71" s="11">
        <v>40.651361378664021</v>
      </c>
      <c r="L71" s="11">
        <v>31.659462752029832</v>
      </c>
      <c r="M71" s="11">
        <v>249.21290311643861</v>
      </c>
    </row>
    <row r="72" spans="1:13" x14ac:dyDescent="0.25">
      <c r="A72" s="6">
        <v>48</v>
      </c>
      <c r="B72" s="6" t="s">
        <v>269</v>
      </c>
      <c r="C72" s="6" t="s">
        <v>300</v>
      </c>
      <c r="D72" s="6" t="s">
        <v>28</v>
      </c>
      <c r="E72" s="6" t="s">
        <v>33</v>
      </c>
      <c r="F72" s="6" t="s">
        <v>33</v>
      </c>
      <c r="G72" s="10">
        <v>0</v>
      </c>
      <c r="H72" s="10">
        <v>0.24021946013287521</v>
      </c>
      <c r="I72" s="10">
        <v>0.21586370090681031</v>
      </c>
      <c r="J72" s="10">
        <v>0.59801557616878198</v>
      </c>
      <c r="K72" s="10">
        <v>71.216839058001057</v>
      </c>
      <c r="L72" s="10">
        <v>57.608886510204798</v>
      </c>
      <c r="M72" s="10">
        <v>195.5190827900918</v>
      </c>
    </row>
    <row r="73" spans="1:13" x14ac:dyDescent="0.25">
      <c r="A73" s="8">
        <v>48</v>
      </c>
      <c r="B73" s="8" t="s">
        <v>269</v>
      </c>
      <c r="C73" s="8" t="s">
        <v>301</v>
      </c>
      <c r="D73" s="8" t="s">
        <v>28</v>
      </c>
      <c r="E73" s="8" t="s">
        <v>33</v>
      </c>
      <c r="F73" s="8" t="s">
        <v>33</v>
      </c>
      <c r="G73" s="11">
        <v>0</v>
      </c>
      <c r="H73" s="11">
        <v>0.45036794227206151</v>
      </c>
      <c r="I73" s="11">
        <v>6.3170939991916364E-2</v>
      </c>
      <c r="J73" s="11">
        <v>0.91605902538235162</v>
      </c>
      <c r="K73" s="11">
        <v>59.818804156881647</v>
      </c>
      <c r="L73" s="11">
        <v>44.251155441805381</v>
      </c>
      <c r="M73" s="11">
        <v>219.38476491375911</v>
      </c>
    </row>
    <row r="74" spans="1:13" x14ac:dyDescent="0.25">
      <c r="A74" s="6">
        <v>51</v>
      </c>
      <c r="B74" s="6" t="s">
        <v>281</v>
      </c>
      <c r="C74" s="6" t="s">
        <v>300</v>
      </c>
      <c r="D74" s="6" t="s">
        <v>28</v>
      </c>
      <c r="E74" s="6" t="s">
        <v>29</v>
      </c>
      <c r="F74" s="6" t="s">
        <v>96</v>
      </c>
      <c r="G74" s="10">
        <v>0</v>
      </c>
      <c r="H74" s="10">
        <v>0.59332623218911007</v>
      </c>
      <c r="I74" s="10">
        <v>0.60827748536033199</v>
      </c>
      <c r="J74" s="10">
        <v>0.30723605634976031</v>
      </c>
      <c r="K74" s="10">
        <v>47.848227987467823</v>
      </c>
      <c r="L74" s="10">
        <v>34.798057659764133</v>
      </c>
      <c r="M74" s="10">
        <v>69.521351283950381</v>
      </c>
    </row>
    <row r="75" spans="1:13" x14ac:dyDescent="0.25">
      <c r="A75" s="8">
        <v>51</v>
      </c>
      <c r="B75" s="8" t="s">
        <v>281</v>
      </c>
      <c r="C75" s="8" t="s">
        <v>301</v>
      </c>
      <c r="D75" s="8" t="s">
        <v>28</v>
      </c>
      <c r="E75" s="8" t="s">
        <v>29</v>
      </c>
      <c r="F75" s="8" t="s">
        <v>96</v>
      </c>
      <c r="G75" s="11">
        <v>0</v>
      </c>
      <c r="H75" s="11">
        <v>0.65269298090049266</v>
      </c>
      <c r="I75" s="11">
        <v>1.4671353884529701</v>
      </c>
      <c r="J75" s="11">
        <v>1.325529204266642</v>
      </c>
      <c r="K75" s="11">
        <v>32.194796924640961</v>
      </c>
      <c r="L75" s="11">
        <v>24.26414905968165</v>
      </c>
      <c r="M75" s="11">
        <v>93.626436720487092</v>
      </c>
    </row>
    <row r="76" spans="1:13" x14ac:dyDescent="0.25">
      <c r="A76" s="6">
        <v>52</v>
      </c>
      <c r="B76" s="6" t="s">
        <v>283</v>
      </c>
      <c r="C76" s="6" t="s">
        <v>300</v>
      </c>
      <c r="D76" s="6" t="s">
        <v>28</v>
      </c>
      <c r="E76" s="6" t="s">
        <v>29</v>
      </c>
      <c r="F76" s="6" t="s">
        <v>130</v>
      </c>
      <c r="G76" s="10">
        <v>0</v>
      </c>
      <c r="H76" s="10">
        <v>0.1862366457606098</v>
      </c>
      <c r="I76" s="10">
        <v>0.29756116596851101</v>
      </c>
      <c r="J76" s="10">
        <v>1.4208131798353429</v>
      </c>
      <c r="K76" s="10">
        <v>52.756028546138587</v>
      </c>
      <c r="L76" s="10">
        <v>37.953041680685587</v>
      </c>
      <c r="M76" s="10">
        <v>58.946475557855408</v>
      </c>
    </row>
    <row r="77" spans="1:13" x14ac:dyDescent="0.25">
      <c r="A77" s="8">
        <v>52</v>
      </c>
      <c r="B77" s="8" t="s">
        <v>283</v>
      </c>
      <c r="C77" s="8" t="s">
        <v>301</v>
      </c>
      <c r="D77" s="8" t="s">
        <v>28</v>
      </c>
      <c r="E77" s="8" t="s">
        <v>29</v>
      </c>
      <c r="F77" s="8" t="s">
        <v>130</v>
      </c>
      <c r="G77" s="11">
        <v>0</v>
      </c>
      <c r="H77" s="11">
        <v>0.36612590067079281</v>
      </c>
      <c r="I77" s="11">
        <v>0.5256426997626461</v>
      </c>
      <c r="J77" s="11">
        <v>1.2052897532145439</v>
      </c>
      <c r="K77" s="11">
        <v>29.795163922103889</v>
      </c>
      <c r="L77" s="11">
        <v>24.547360757977579</v>
      </c>
      <c r="M77" s="11">
        <v>95.669722271772159</v>
      </c>
    </row>
    <row r="78" spans="1:13" x14ac:dyDescent="0.25">
      <c r="A78" s="6">
        <v>53</v>
      </c>
      <c r="B78" s="6" t="s">
        <v>287</v>
      </c>
      <c r="C78" s="6" t="s">
        <v>300</v>
      </c>
      <c r="D78" s="6" t="s">
        <v>28</v>
      </c>
      <c r="E78" s="6" t="s">
        <v>31</v>
      </c>
      <c r="F78" s="6" t="s">
        <v>31</v>
      </c>
      <c r="G78" s="10">
        <v>5.2222732101069563E-2</v>
      </c>
      <c r="H78" s="10">
        <v>0.12701409600270411</v>
      </c>
      <c r="I78" s="10">
        <v>3.1548608690509579E-2</v>
      </c>
      <c r="J78" s="10">
        <v>0.16750319091501231</v>
      </c>
      <c r="K78" s="10">
        <v>59.942098202755432</v>
      </c>
      <c r="L78" s="10">
        <v>53.823119668093447</v>
      </c>
      <c r="M78" s="10">
        <v>211.265551707941</v>
      </c>
    </row>
    <row r="79" spans="1:13" x14ac:dyDescent="0.25">
      <c r="A79" s="8">
        <v>53</v>
      </c>
      <c r="B79" s="8" t="s">
        <v>287</v>
      </c>
      <c r="C79" s="8" t="s">
        <v>301</v>
      </c>
      <c r="D79" s="8" t="s">
        <v>28</v>
      </c>
      <c r="E79" s="8" t="s">
        <v>31</v>
      </c>
      <c r="F79" s="8" t="s">
        <v>31</v>
      </c>
      <c r="G79" s="11">
        <v>0</v>
      </c>
      <c r="H79" s="11">
        <v>2.1664931883547331E-3</v>
      </c>
      <c r="I79" s="11">
        <v>4.085835435001741E-2</v>
      </c>
      <c r="J79" s="11">
        <v>0.36129624957342932</v>
      </c>
      <c r="K79" s="11">
        <v>42.408761093682124</v>
      </c>
      <c r="L79" s="11">
        <v>30.728695534576911</v>
      </c>
      <c r="M79" s="11">
        <v>251.55385390647561</v>
      </c>
    </row>
    <row r="80" spans="1:13" x14ac:dyDescent="0.25">
      <c r="A80" s="6">
        <v>54</v>
      </c>
      <c r="B80" s="6" t="s">
        <v>289</v>
      </c>
      <c r="C80" s="6" t="s">
        <v>300</v>
      </c>
      <c r="D80" s="6" t="s">
        <v>28</v>
      </c>
      <c r="E80" s="6" t="s">
        <v>33</v>
      </c>
      <c r="F80" s="6" t="s">
        <v>33</v>
      </c>
      <c r="G80" s="10">
        <v>8.8935996553685642E-2</v>
      </c>
      <c r="H80" s="10">
        <v>0.32793162569742029</v>
      </c>
      <c r="I80" s="10">
        <v>0.10141816483241591</v>
      </c>
      <c r="J80" s="10">
        <v>0.57665162648251256</v>
      </c>
      <c r="K80" s="10">
        <v>63.630851515328487</v>
      </c>
      <c r="L80" s="10">
        <v>53.728638461221273</v>
      </c>
      <c r="M80" s="10">
        <v>206.0150800117203</v>
      </c>
    </row>
    <row r="81" spans="1:13" x14ac:dyDescent="0.25">
      <c r="A81" s="8">
        <v>54</v>
      </c>
      <c r="B81" s="8" t="s">
        <v>289</v>
      </c>
      <c r="C81" s="8" t="s">
        <v>301</v>
      </c>
      <c r="D81" s="8" t="s">
        <v>28</v>
      </c>
      <c r="E81" s="8" t="s">
        <v>33</v>
      </c>
      <c r="F81" s="8" t="s">
        <v>33</v>
      </c>
      <c r="G81" s="11">
        <v>0</v>
      </c>
      <c r="H81" s="11">
        <v>0.44236745429158209</v>
      </c>
      <c r="I81" s="11">
        <v>0.428265735708522</v>
      </c>
      <c r="J81" s="11">
        <v>0.51104472499002784</v>
      </c>
      <c r="K81" s="11">
        <v>36.406613940185977</v>
      </c>
      <c r="L81" s="11">
        <v>29.047822987177661</v>
      </c>
      <c r="M81" s="11">
        <v>258.19733356892652</v>
      </c>
    </row>
  </sheetData>
  <autoFilter ref="A55:M81"/>
  <mergeCells count="3">
    <mergeCell ref="A1:T1"/>
    <mergeCell ref="A20:M20"/>
    <mergeCell ref="A52:M5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8" width="22" customWidth="1"/>
    <col min="9" max="9" width="21" customWidth="1"/>
    <col min="10" max="10" width="20" customWidth="1"/>
    <col min="11" max="14" width="19" customWidth="1"/>
    <col min="15" max="15" width="15" customWidth="1"/>
    <col min="16" max="16" width="13" customWidth="1"/>
    <col min="17" max="17" width="16" customWidth="1"/>
    <col min="18" max="18" width="14" customWidth="1"/>
    <col min="19" max="20" width="28" customWidth="1"/>
  </cols>
  <sheetData>
    <row r="1" spans="1:20" ht="27.95" customHeight="1" x14ac:dyDescent="0.25">
      <c r="A1" s="55" t="s">
        <v>312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</row>
    <row r="2" spans="1:20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4" spans="1:20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307</v>
      </c>
      <c r="J4" s="9" t="s">
        <v>308</v>
      </c>
      <c r="K4" s="9" t="s">
        <v>65</v>
      </c>
      <c r="L4" s="9" t="s">
        <v>66</v>
      </c>
      <c r="M4" s="9" t="s">
        <v>67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72</v>
      </c>
      <c r="S4" s="9" t="s">
        <v>73</v>
      </c>
      <c r="T4" s="9" t="s">
        <v>74</v>
      </c>
    </row>
    <row r="5" spans="1:20" x14ac:dyDescent="0.25">
      <c r="A5" s="6">
        <v>4</v>
      </c>
      <c r="B5" s="6" t="s">
        <v>95</v>
      </c>
      <c r="C5" s="6" t="s">
        <v>42</v>
      </c>
      <c r="D5" s="6" t="s">
        <v>28</v>
      </c>
      <c r="E5" s="6" t="s">
        <v>29</v>
      </c>
      <c r="F5" s="6" t="s">
        <v>96</v>
      </c>
      <c r="G5" s="6" t="s">
        <v>97</v>
      </c>
      <c r="H5" s="6" t="s">
        <v>97</v>
      </c>
      <c r="I5" s="6" t="s">
        <v>309</v>
      </c>
      <c r="J5" s="6" t="s">
        <v>97</v>
      </c>
      <c r="K5" s="10">
        <v>148.19876902377749</v>
      </c>
      <c r="L5" s="10">
        <v>148.1254196841063</v>
      </c>
      <c r="M5" s="10">
        <v>240.44363333333331</v>
      </c>
      <c r="N5" s="10">
        <v>274.35000000000002</v>
      </c>
      <c r="O5" s="6" t="s">
        <v>98</v>
      </c>
      <c r="P5" s="6" t="s">
        <v>99</v>
      </c>
      <c r="Q5" s="6" t="s">
        <v>100</v>
      </c>
      <c r="R5" s="6" t="s">
        <v>101</v>
      </c>
      <c r="S5" s="10">
        <v>42.808105641290943</v>
      </c>
      <c r="T5" s="10">
        <v>44.784536201483498</v>
      </c>
    </row>
    <row r="6" spans="1:20" x14ac:dyDescent="0.25">
      <c r="A6" s="8">
        <v>11</v>
      </c>
      <c r="B6" s="8" t="s">
        <v>129</v>
      </c>
      <c r="C6" s="8" t="s">
        <v>42</v>
      </c>
      <c r="D6" s="8" t="s">
        <v>28</v>
      </c>
      <c r="E6" s="8" t="s">
        <v>29</v>
      </c>
      <c r="F6" s="8" t="s">
        <v>130</v>
      </c>
      <c r="G6" s="8" t="s">
        <v>131</v>
      </c>
      <c r="H6" s="8" t="s">
        <v>131</v>
      </c>
      <c r="I6" s="8" t="s">
        <v>309</v>
      </c>
      <c r="J6" s="8" t="s">
        <v>131</v>
      </c>
      <c r="K6" s="11">
        <v>143.67832745765901</v>
      </c>
      <c r="L6" s="11">
        <v>143.70610311558761</v>
      </c>
      <c r="M6" s="11">
        <v>241.37365</v>
      </c>
      <c r="N6" s="11">
        <v>241.6157666666667</v>
      </c>
      <c r="O6" s="8" t="s">
        <v>132</v>
      </c>
      <c r="P6" s="8" t="s">
        <v>133</v>
      </c>
      <c r="Q6" s="8" t="s">
        <v>134</v>
      </c>
      <c r="R6" s="8" t="s">
        <v>135</v>
      </c>
      <c r="S6" s="11">
        <v>44.633872553714347</v>
      </c>
      <c r="T6" s="11">
        <v>42.341883574137007</v>
      </c>
    </row>
    <row r="7" spans="1:20" x14ac:dyDescent="0.25">
      <c r="A7" s="6">
        <v>18</v>
      </c>
      <c r="B7" s="6" t="s">
        <v>162</v>
      </c>
      <c r="C7" s="6" t="s">
        <v>42</v>
      </c>
      <c r="D7" s="6" t="s">
        <v>28</v>
      </c>
      <c r="E7" s="6" t="s">
        <v>29</v>
      </c>
      <c r="F7" s="6" t="s">
        <v>96</v>
      </c>
      <c r="G7" s="6" t="s">
        <v>103</v>
      </c>
      <c r="H7" s="6" t="s">
        <v>103</v>
      </c>
      <c r="I7" s="6" t="s">
        <v>309</v>
      </c>
      <c r="J7" s="6" t="s">
        <v>103</v>
      </c>
      <c r="K7" s="10">
        <v>141.5990549680233</v>
      </c>
      <c r="L7" s="10">
        <v>141.66630570695861</v>
      </c>
      <c r="M7" s="10">
        <v>205.6434166666667</v>
      </c>
      <c r="N7" s="10">
        <v>221.15</v>
      </c>
      <c r="O7" s="6" t="s">
        <v>163</v>
      </c>
      <c r="P7" s="6" t="s">
        <v>164</v>
      </c>
      <c r="Q7" s="6" t="s">
        <v>106</v>
      </c>
      <c r="R7" s="6" t="s">
        <v>107</v>
      </c>
      <c r="S7" s="10">
        <v>51.089288821174947</v>
      </c>
      <c r="T7" s="10">
        <v>44.820093416341507</v>
      </c>
    </row>
    <row r="8" spans="1:20" x14ac:dyDescent="0.25">
      <c r="A8" s="8">
        <v>23</v>
      </c>
      <c r="B8" s="8" t="s">
        <v>176</v>
      </c>
      <c r="C8" s="8" t="s">
        <v>42</v>
      </c>
      <c r="D8" s="8" t="s">
        <v>28</v>
      </c>
      <c r="E8" s="8" t="s">
        <v>29</v>
      </c>
      <c r="F8" s="8" t="s">
        <v>130</v>
      </c>
      <c r="G8" s="8" t="s">
        <v>137</v>
      </c>
      <c r="H8" s="8" t="s">
        <v>137</v>
      </c>
      <c r="I8" s="8" t="s">
        <v>309</v>
      </c>
      <c r="J8" s="8" t="s">
        <v>137</v>
      </c>
      <c r="K8" s="11">
        <v>137.84785127876921</v>
      </c>
      <c r="L8" s="11">
        <v>137.9112374368539</v>
      </c>
      <c r="M8" s="11">
        <v>223.05115000000001</v>
      </c>
      <c r="N8" s="11">
        <v>231.8833333333333</v>
      </c>
      <c r="O8" s="8" t="s">
        <v>142</v>
      </c>
      <c r="P8" s="8" t="s">
        <v>177</v>
      </c>
      <c r="Q8" s="8" t="s">
        <v>139</v>
      </c>
      <c r="R8" s="8" t="s">
        <v>140</v>
      </c>
      <c r="S8" s="11">
        <v>43.489208200130058</v>
      </c>
      <c r="T8" s="11">
        <v>40.29129762507425</v>
      </c>
    </row>
    <row r="9" spans="1:20" x14ac:dyDescent="0.25">
      <c r="A9" s="6">
        <v>28</v>
      </c>
      <c r="B9" s="6" t="s">
        <v>188</v>
      </c>
      <c r="C9" s="6" t="s">
        <v>42</v>
      </c>
      <c r="D9" s="6" t="s">
        <v>28</v>
      </c>
      <c r="E9" s="6" t="s">
        <v>29</v>
      </c>
      <c r="F9" s="6" t="s">
        <v>96</v>
      </c>
      <c r="G9" s="6" t="s">
        <v>112</v>
      </c>
      <c r="H9" s="6" t="s">
        <v>112</v>
      </c>
      <c r="I9" s="6" t="s">
        <v>309</v>
      </c>
      <c r="J9" s="6" t="s">
        <v>112</v>
      </c>
      <c r="K9" s="10">
        <v>145.90644227428081</v>
      </c>
      <c r="L9" s="10">
        <v>145.99433069945931</v>
      </c>
      <c r="M9" s="10">
        <v>195.40219999999999</v>
      </c>
      <c r="N9" s="10">
        <v>266.86321666666669</v>
      </c>
      <c r="O9" s="6" t="s">
        <v>189</v>
      </c>
      <c r="P9" s="6" t="s">
        <v>190</v>
      </c>
      <c r="Q9" s="6" t="s">
        <v>115</v>
      </c>
      <c r="R9" s="6" t="s">
        <v>191</v>
      </c>
      <c r="S9" s="10">
        <v>48.032687059895139</v>
      </c>
      <c r="T9" s="10">
        <v>45.342764687473462</v>
      </c>
    </row>
    <row r="10" spans="1:20" x14ac:dyDescent="0.25">
      <c r="A10" s="8">
        <v>31</v>
      </c>
      <c r="B10" s="8" t="s">
        <v>198</v>
      </c>
      <c r="C10" s="8" t="s">
        <v>42</v>
      </c>
      <c r="D10" s="8" t="s">
        <v>28</v>
      </c>
      <c r="E10" s="8" t="s">
        <v>29</v>
      </c>
      <c r="F10" s="8" t="s">
        <v>130</v>
      </c>
      <c r="G10" s="8" t="s">
        <v>145</v>
      </c>
      <c r="H10" s="8" t="s">
        <v>145</v>
      </c>
      <c r="I10" s="8" t="s">
        <v>309</v>
      </c>
      <c r="J10" s="8" t="s">
        <v>145</v>
      </c>
      <c r="K10" s="11">
        <v>123.9926446469637</v>
      </c>
      <c r="L10" s="11">
        <v>123.9802750677086</v>
      </c>
      <c r="M10" s="11">
        <v>187.65295</v>
      </c>
      <c r="N10" s="11">
        <v>194.95840000000001</v>
      </c>
      <c r="O10" s="8" t="s">
        <v>199</v>
      </c>
      <c r="P10" s="8" t="s">
        <v>200</v>
      </c>
      <c r="Q10" s="8" t="s">
        <v>148</v>
      </c>
      <c r="R10" s="8" t="s">
        <v>149</v>
      </c>
      <c r="S10" s="11">
        <v>46.882858863668829</v>
      </c>
      <c r="T10" s="11">
        <v>42.761694453487323</v>
      </c>
    </row>
    <row r="11" spans="1:20" x14ac:dyDescent="0.25">
      <c r="A11" s="6">
        <v>38</v>
      </c>
      <c r="B11" s="6" t="s">
        <v>223</v>
      </c>
      <c r="C11" s="6" t="s">
        <v>42</v>
      </c>
      <c r="D11" s="6" t="s">
        <v>28</v>
      </c>
      <c r="E11" s="6" t="s">
        <v>31</v>
      </c>
      <c r="F11" s="6" t="s">
        <v>31</v>
      </c>
      <c r="G11" s="6" t="s">
        <v>224</v>
      </c>
      <c r="H11" s="6" t="s">
        <v>224</v>
      </c>
      <c r="I11" s="6" t="s">
        <v>309</v>
      </c>
      <c r="J11" s="6" t="s">
        <v>224</v>
      </c>
      <c r="K11" s="10">
        <v>326.35477257458922</v>
      </c>
      <c r="L11" s="10">
        <v>325.94609719425989</v>
      </c>
      <c r="M11" s="10">
        <v>395</v>
      </c>
      <c r="N11" s="10">
        <v>374.96151666666663</v>
      </c>
      <c r="O11" s="6" t="s">
        <v>225</v>
      </c>
      <c r="P11" s="6" t="s">
        <v>226</v>
      </c>
      <c r="Q11" s="6" t="s">
        <v>227</v>
      </c>
      <c r="R11" s="6" t="s">
        <v>228</v>
      </c>
      <c r="S11" s="10">
        <v>61.316237218779037</v>
      </c>
      <c r="T11" s="10">
        <v>59.540017015084743</v>
      </c>
    </row>
    <row r="12" spans="1:20" x14ac:dyDescent="0.25">
      <c r="A12" s="8">
        <v>42</v>
      </c>
      <c r="B12" s="8" t="s">
        <v>242</v>
      </c>
      <c r="C12" s="8" t="s">
        <v>42</v>
      </c>
      <c r="D12" s="8" t="s">
        <v>28</v>
      </c>
      <c r="E12" s="8" t="s">
        <v>33</v>
      </c>
      <c r="F12" s="8" t="s">
        <v>33</v>
      </c>
      <c r="G12" s="8" t="s">
        <v>243</v>
      </c>
      <c r="H12" s="8" t="s">
        <v>243</v>
      </c>
      <c r="I12" s="8" t="s">
        <v>309</v>
      </c>
      <c r="J12" s="8" t="s">
        <v>243</v>
      </c>
      <c r="K12" s="11">
        <v>321.86119576256169</v>
      </c>
      <c r="L12" s="11">
        <v>322.43341940471572</v>
      </c>
      <c r="M12" s="11">
        <v>405.77063333333331</v>
      </c>
      <c r="N12" s="11">
        <v>325.4048166666667</v>
      </c>
      <c r="O12" s="8" t="s">
        <v>244</v>
      </c>
      <c r="P12" s="8" t="s">
        <v>245</v>
      </c>
      <c r="Q12" s="8" t="s">
        <v>246</v>
      </c>
      <c r="R12" s="8" t="s">
        <v>247</v>
      </c>
      <c r="S12" s="11">
        <v>64.645314886366052</v>
      </c>
      <c r="T12" s="11">
        <v>63.964896238433653</v>
      </c>
    </row>
    <row r="13" spans="1:20" x14ac:dyDescent="0.25">
      <c r="A13" s="6">
        <v>48</v>
      </c>
      <c r="B13" s="6" t="s">
        <v>269</v>
      </c>
      <c r="C13" s="6" t="s">
        <v>42</v>
      </c>
      <c r="D13" s="6" t="s">
        <v>28</v>
      </c>
      <c r="E13" s="6" t="s">
        <v>33</v>
      </c>
      <c r="F13" s="6" t="s">
        <v>33</v>
      </c>
      <c r="G13" s="6" t="s">
        <v>249</v>
      </c>
      <c r="H13" s="6" t="s">
        <v>249</v>
      </c>
      <c r="I13" s="6" t="s">
        <v>309</v>
      </c>
      <c r="J13" s="6" t="s">
        <v>249</v>
      </c>
      <c r="K13" s="10">
        <v>325.39890709550622</v>
      </c>
      <c r="L13" s="10">
        <v>324.88432242009242</v>
      </c>
      <c r="M13" s="10">
        <v>410.73333333333329</v>
      </c>
      <c r="N13" s="10">
        <v>348.14720000000011</v>
      </c>
      <c r="O13" s="6" t="s">
        <v>255</v>
      </c>
      <c r="P13" s="6" t="s">
        <v>270</v>
      </c>
      <c r="Q13" s="6" t="s">
        <v>271</v>
      </c>
      <c r="R13" s="6" t="s">
        <v>272</v>
      </c>
      <c r="S13" s="10">
        <v>62.048170909885918</v>
      </c>
      <c r="T13" s="10">
        <v>63.51275377345894</v>
      </c>
    </row>
    <row r="14" spans="1:20" x14ac:dyDescent="0.25">
      <c r="A14" s="8">
        <v>51</v>
      </c>
      <c r="B14" s="8" t="s">
        <v>281</v>
      </c>
      <c r="C14" s="8" t="s">
        <v>42</v>
      </c>
      <c r="D14" s="8" t="s">
        <v>28</v>
      </c>
      <c r="E14" s="8" t="s">
        <v>29</v>
      </c>
      <c r="F14" s="8" t="s">
        <v>96</v>
      </c>
      <c r="G14" s="8" t="s">
        <v>122</v>
      </c>
      <c r="H14" s="8" t="s">
        <v>122</v>
      </c>
      <c r="I14" s="8" t="s">
        <v>309</v>
      </c>
      <c r="J14" s="8" t="s">
        <v>122</v>
      </c>
      <c r="K14" s="11">
        <v>153.67647670508151</v>
      </c>
      <c r="L14" s="11">
        <v>153.53074027842979</v>
      </c>
      <c r="M14" s="11">
        <v>265.81493333333327</v>
      </c>
      <c r="N14" s="11">
        <v>285.56666666666672</v>
      </c>
      <c r="O14" s="8" t="s">
        <v>282</v>
      </c>
      <c r="P14" s="8" t="s">
        <v>175</v>
      </c>
      <c r="Q14" s="8" t="s">
        <v>124</v>
      </c>
      <c r="R14" s="8" t="s">
        <v>125</v>
      </c>
      <c r="S14" s="11">
        <v>45.911373665924373</v>
      </c>
      <c r="T14" s="11">
        <v>41.347135164429552</v>
      </c>
    </row>
    <row r="15" spans="1:20" x14ac:dyDescent="0.25">
      <c r="A15" s="6">
        <v>52</v>
      </c>
      <c r="B15" s="6" t="s">
        <v>283</v>
      </c>
      <c r="C15" s="6" t="s">
        <v>42</v>
      </c>
      <c r="D15" s="6" t="s">
        <v>28</v>
      </c>
      <c r="E15" s="6" t="s">
        <v>29</v>
      </c>
      <c r="F15" s="6" t="s">
        <v>130</v>
      </c>
      <c r="G15" s="6" t="s">
        <v>154</v>
      </c>
      <c r="H15" s="6" t="s">
        <v>154</v>
      </c>
      <c r="I15" s="6" t="s">
        <v>309</v>
      </c>
      <c r="J15" s="6" t="s">
        <v>154</v>
      </c>
      <c r="K15" s="10">
        <v>151.56015677624401</v>
      </c>
      <c r="L15" s="10">
        <v>152.10930530550161</v>
      </c>
      <c r="M15" s="10">
        <v>263.95294999999999</v>
      </c>
      <c r="N15" s="10">
        <v>286.34036666666663</v>
      </c>
      <c r="O15" s="6" t="s">
        <v>284</v>
      </c>
      <c r="P15" s="6" t="s">
        <v>285</v>
      </c>
      <c r="Q15" s="6" t="s">
        <v>156</v>
      </c>
      <c r="R15" s="6" t="s">
        <v>286</v>
      </c>
      <c r="S15" s="10">
        <v>42.410120530327511</v>
      </c>
      <c r="T15" s="10">
        <v>36.293607322885208</v>
      </c>
    </row>
    <row r="16" spans="1:20" x14ac:dyDescent="0.25">
      <c r="A16" s="8">
        <v>53</v>
      </c>
      <c r="B16" s="8" t="s">
        <v>287</v>
      </c>
      <c r="C16" s="8" t="s">
        <v>42</v>
      </c>
      <c r="D16" s="8" t="s">
        <v>28</v>
      </c>
      <c r="E16" s="8" t="s">
        <v>31</v>
      </c>
      <c r="F16" s="8" t="s">
        <v>31</v>
      </c>
      <c r="G16" s="8" t="s">
        <v>235</v>
      </c>
      <c r="H16" s="8" t="s">
        <v>235</v>
      </c>
      <c r="I16" s="8" t="s">
        <v>309</v>
      </c>
      <c r="J16" s="8" t="s">
        <v>235</v>
      </c>
      <c r="K16" s="11">
        <v>325.4090582064992</v>
      </c>
      <c r="L16" s="11">
        <v>325.0956316318464</v>
      </c>
      <c r="M16" s="11">
        <v>353.84784999999999</v>
      </c>
      <c r="N16" s="11">
        <v>317.94676666666669</v>
      </c>
      <c r="O16" s="8" t="s">
        <v>239</v>
      </c>
      <c r="P16" s="8" t="s">
        <v>240</v>
      </c>
      <c r="Q16" s="8" t="s">
        <v>236</v>
      </c>
      <c r="R16" s="8" t="s">
        <v>288</v>
      </c>
      <c r="S16" s="11">
        <v>67.113187317822849</v>
      </c>
      <c r="T16" s="11">
        <v>62.785790581976698</v>
      </c>
    </row>
    <row r="17" spans="1:20" x14ac:dyDescent="0.25">
      <c r="A17" s="6">
        <v>54</v>
      </c>
      <c r="B17" s="6" t="s">
        <v>289</v>
      </c>
      <c r="C17" s="6" t="s">
        <v>42</v>
      </c>
      <c r="D17" s="6" t="s">
        <v>28</v>
      </c>
      <c r="E17" s="6" t="s">
        <v>33</v>
      </c>
      <c r="F17" s="6" t="s">
        <v>33</v>
      </c>
      <c r="G17" s="6" t="s">
        <v>260</v>
      </c>
      <c r="H17" s="6" t="s">
        <v>260</v>
      </c>
      <c r="I17" s="6" t="s">
        <v>309</v>
      </c>
      <c r="J17" s="6" t="s">
        <v>260</v>
      </c>
      <c r="K17" s="10">
        <v>324.46950740183598</v>
      </c>
      <c r="L17" s="10">
        <v>325.03344841128018</v>
      </c>
      <c r="M17" s="10">
        <v>417.36546666666669</v>
      </c>
      <c r="N17" s="10">
        <v>352.73333333333329</v>
      </c>
      <c r="O17" s="6" t="s">
        <v>278</v>
      </c>
      <c r="P17" s="6" t="s">
        <v>290</v>
      </c>
      <c r="Q17" s="6" t="s">
        <v>261</v>
      </c>
      <c r="R17" s="6" t="s">
        <v>276</v>
      </c>
      <c r="S17" s="10">
        <v>64.21541291915878</v>
      </c>
      <c r="T17" s="10">
        <v>59.707655911824418</v>
      </c>
    </row>
    <row r="20" spans="1:20" ht="27.95" customHeight="1" x14ac:dyDescent="0.25">
      <c r="A20" s="55" t="s">
        <v>313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</row>
    <row r="21" spans="1:20" ht="3.9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3" spans="1:20" ht="30" x14ac:dyDescent="0.25">
      <c r="A23" s="9" t="s">
        <v>59</v>
      </c>
      <c r="B23" s="9" t="s">
        <v>60</v>
      </c>
      <c r="C23" s="9" t="s">
        <v>292</v>
      </c>
      <c r="D23" s="9" t="s">
        <v>24</v>
      </c>
      <c r="E23" s="9" t="s">
        <v>61</v>
      </c>
      <c r="F23" s="9" t="s">
        <v>62</v>
      </c>
      <c r="G23" s="9" t="s">
        <v>293</v>
      </c>
      <c r="H23" s="9" t="s">
        <v>294</v>
      </c>
      <c r="I23" s="9" t="s">
        <v>295</v>
      </c>
      <c r="J23" s="9" t="s">
        <v>296</v>
      </c>
      <c r="K23" s="9" t="s">
        <v>297</v>
      </c>
      <c r="L23" s="9" t="s">
        <v>298</v>
      </c>
      <c r="M23" s="9" t="s">
        <v>299</v>
      </c>
    </row>
    <row r="24" spans="1:20" x14ac:dyDescent="0.25">
      <c r="A24" s="6">
        <v>4</v>
      </c>
      <c r="B24" s="6" t="s">
        <v>95</v>
      </c>
      <c r="C24" s="6" t="s">
        <v>300</v>
      </c>
      <c r="D24" s="6" t="s">
        <v>28</v>
      </c>
      <c r="E24" s="6" t="s">
        <v>29</v>
      </c>
      <c r="F24" s="6" t="s">
        <v>96</v>
      </c>
      <c r="G24" s="10">
        <v>0</v>
      </c>
      <c r="H24" s="10">
        <v>25.883333333333329</v>
      </c>
      <c r="I24" s="10">
        <v>8.15</v>
      </c>
      <c r="J24" s="10">
        <v>8.0166666666666675</v>
      </c>
      <c r="K24" s="10">
        <v>55.883333333333333</v>
      </c>
      <c r="L24" s="10">
        <v>40.116666666666667</v>
      </c>
      <c r="M24" s="10">
        <v>102.3936333333333</v>
      </c>
    </row>
    <row r="25" spans="1:20" x14ac:dyDescent="0.25">
      <c r="A25" s="8">
        <v>4</v>
      </c>
      <c r="B25" s="8" t="s">
        <v>95</v>
      </c>
      <c r="C25" s="8" t="s">
        <v>301</v>
      </c>
      <c r="D25" s="8" t="s">
        <v>28</v>
      </c>
      <c r="E25" s="8" t="s">
        <v>29</v>
      </c>
      <c r="F25" s="8" t="s">
        <v>96</v>
      </c>
      <c r="G25" s="11">
        <v>0</v>
      </c>
      <c r="H25" s="11">
        <v>69.483333333333334</v>
      </c>
      <c r="I25" s="11">
        <v>9.9499999999999993</v>
      </c>
      <c r="J25" s="11">
        <v>1.716666666666667</v>
      </c>
      <c r="K25" s="11">
        <v>25.133333333333329</v>
      </c>
      <c r="L25" s="11">
        <v>23.43333333333333</v>
      </c>
      <c r="M25" s="11">
        <v>144.6333333333333</v>
      </c>
    </row>
    <row r="26" spans="1:20" x14ac:dyDescent="0.25">
      <c r="A26" s="6">
        <v>11</v>
      </c>
      <c r="B26" s="6" t="s">
        <v>129</v>
      </c>
      <c r="C26" s="6" t="s">
        <v>300</v>
      </c>
      <c r="D26" s="6" t="s">
        <v>28</v>
      </c>
      <c r="E26" s="6" t="s">
        <v>29</v>
      </c>
      <c r="F26" s="6" t="s">
        <v>130</v>
      </c>
      <c r="G26" s="10">
        <v>0</v>
      </c>
      <c r="H26" s="10">
        <v>43.485533333333343</v>
      </c>
      <c r="I26" s="10">
        <v>7.55</v>
      </c>
      <c r="J26" s="10">
        <v>4.0999999999999996</v>
      </c>
      <c r="K26" s="10">
        <v>52.5</v>
      </c>
      <c r="L26" s="10">
        <v>37.471449999999997</v>
      </c>
      <c r="M26" s="10">
        <v>96.266666666666666</v>
      </c>
    </row>
    <row r="27" spans="1:20" x14ac:dyDescent="0.25">
      <c r="A27" s="8">
        <v>11</v>
      </c>
      <c r="B27" s="8" t="s">
        <v>129</v>
      </c>
      <c r="C27" s="8" t="s">
        <v>301</v>
      </c>
      <c r="D27" s="8" t="s">
        <v>28</v>
      </c>
      <c r="E27" s="8" t="s">
        <v>29</v>
      </c>
      <c r="F27" s="8" t="s">
        <v>130</v>
      </c>
      <c r="G27" s="11">
        <v>0</v>
      </c>
      <c r="H27" s="11">
        <v>36.983333333333327</v>
      </c>
      <c r="I27" s="11">
        <v>4.5</v>
      </c>
      <c r="J27" s="11">
        <v>1.6166666666666669</v>
      </c>
      <c r="K27" s="11">
        <v>42.43333333333333</v>
      </c>
      <c r="L27" s="11">
        <v>34.950000000000003</v>
      </c>
      <c r="M27" s="11">
        <v>121.1324333333333</v>
      </c>
    </row>
    <row r="28" spans="1:20" x14ac:dyDescent="0.25">
      <c r="A28" s="6">
        <v>18</v>
      </c>
      <c r="B28" s="6" t="s">
        <v>162</v>
      </c>
      <c r="C28" s="6" t="s">
        <v>300</v>
      </c>
      <c r="D28" s="6" t="s">
        <v>28</v>
      </c>
      <c r="E28" s="6" t="s">
        <v>29</v>
      </c>
      <c r="F28" s="6" t="s">
        <v>96</v>
      </c>
      <c r="G28" s="10">
        <v>0</v>
      </c>
      <c r="H28" s="10">
        <v>30.18333333333333</v>
      </c>
      <c r="I28" s="10">
        <v>12.0548</v>
      </c>
      <c r="J28" s="10">
        <v>2.1</v>
      </c>
      <c r="K28" s="10">
        <v>43.833333333333343</v>
      </c>
      <c r="L28" s="10">
        <v>30.25</v>
      </c>
      <c r="M28" s="10">
        <v>87.221950000000007</v>
      </c>
    </row>
    <row r="29" spans="1:20" x14ac:dyDescent="0.25">
      <c r="A29" s="8">
        <v>18</v>
      </c>
      <c r="B29" s="8" t="s">
        <v>162</v>
      </c>
      <c r="C29" s="8" t="s">
        <v>301</v>
      </c>
      <c r="D29" s="8" t="s">
        <v>28</v>
      </c>
      <c r="E29" s="8" t="s">
        <v>29</v>
      </c>
      <c r="F29" s="8" t="s">
        <v>96</v>
      </c>
      <c r="G29" s="11">
        <v>0</v>
      </c>
      <c r="H29" s="11">
        <v>31.8</v>
      </c>
      <c r="I29" s="11">
        <v>0</v>
      </c>
      <c r="J29" s="11">
        <v>1.5</v>
      </c>
      <c r="K29" s="11">
        <v>30.466666666666669</v>
      </c>
      <c r="L29" s="11">
        <v>23</v>
      </c>
      <c r="M29" s="11">
        <v>134.3833333333333</v>
      </c>
    </row>
    <row r="30" spans="1:20" x14ac:dyDescent="0.25">
      <c r="A30" s="6">
        <v>23</v>
      </c>
      <c r="B30" s="6" t="s">
        <v>176</v>
      </c>
      <c r="C30" s="6" t="s">
        <v>300</v>
      </c>
      <c r="D30" s="6" t="s">
        <v>28</v>
      </c>
      <c r="E30" s="6" t="s">
        <v>29</v>
      </c>
      <c r="F30" s="6" t="s">
        <v>130</v>
      </c>
      <c r="G30" s="10">
        <v>0</v>
      </c>
      <c r="H30" s="10">
        <v>24.65</v>
      </c>
      <c r="I30" s="10">
        <v>10.13448333333333</v>
      </c>
      <c r="J30" s="10">
        <v>2.1</v>
      </c>
      <c r="K30" s="10">
        <v>53.916666666666657</v>
      </c>
      <c r="L30" s="10">
        <v>40.75</v>
      </c>
      <c r="M30" s="10">
        <v>91.5</v>
      </c>
    </row>
    <row r="31" spans="1:20" x14ac:dyDescent="0.25">
      <c r="A31" s="8">
        <v>23</v>
      </c>
      <c r="B31" s="8" t="s">
        <v>176</v>
      </c>
      <c r="C31" s="8" t="s">
        <v>301</v>
      </c>
      <c r="D31" s="8" t="s">
        <v>28</v>
      </c>
      <c r="E31" s="8" t="s">
        <v>29</v>
      </c>
      <c r="F31" s="8" t="s">
        <v>130</v>
      </c>
      <c r="G31" s="11">
        <v>0</v>
      </c>
      <c r="H31" s="11">
        <v>23.716666666666669</v>
      </c>
      <c r="I31" s="11">
        <v>4.4333333333333336</v>
      </c>
      <c r="J31" s="11">
        <v>9.5500000000000007</v>
      </c>
      <c r="K31" s="11">
        <v>50.65</v>
      </c>
      <c r="L31" s="11">
        <v>34.233333333333327</v>
      </c>
      <c r="M31" s="11">
        <v>109.3</v>
      </c>
    </row>
    <row r="32" spans="1:20" x14ac:dyDescent="0.25">
      <c r="A32" s="6">
        <v>28</v>
      </c>
      <c r="B32" s="6" t="s">
        <v>188</v>
      </c>
      <c r="C32" s="6" t="s">
        <v>300</v>
      </c>
      <c r="D32" s="6" t="s">
        <v>28</v>
      </c>
      <c r="E32" s="6" t="s">
        <v>29</v>
      </c>
      <c r="F32" s="6" t="s">
        <v>96</v>
      </c>
      <c r="G32" s="10">
        <v>0</v>
      </c>
      <c r="H32" s="10">
        <v>8.9333333333333336</v>
      </c>
      <c r="I32" s="10">
        <v>5.4188666666666672</v>
      </c>
      <c r="J32" s="10">
        <v>0</v>
      </c>
      <c r="K32" s="10">
        <v>46.883333333333333</v>
      </c>
      <c r="L32" s="10">
        <v>35.666666666666657</v>
      </c>
      <c r="M32" s="10">
        <v>98.5</v>
      </c>
    </row>
    <row r="33" spans="1:13" x14ac:dyDescent="0.25">
      <c r="A33" s="8">
        <v>28</v>
      </c>
      <c r="B33" s="8" t="s">
        <v>188</v>
      </c>
      <c r="C33" s="8" t="s">
        <v>301</v>
      </c>
      <c r="D33" s="8" t="s">
        <v>28</v>
      </c>
      <c r="E33" s="8" t="s">
        <v>29</v>
      </c>
      <c r="F33" s="8" t="s">
        <v>96</v>
      </c>
      <c r="G33" s="11">
        <v>0</v>
      </c>
      <c r="H33" s="11">
        <v>71.083333333333329</v>
      </c>
      <c r="I33" s="11">
        <v>4.05</v>
      </c>
      <c r="J33" s="11">
        <v>9.2465500000000009</v>
      </c>
      <c r="K33" s="11">
        <v>38.68333333333333</v>
      </c>
      <c r="L33" s="11">
        <v>26.81666666666667</v>
      </c>
      <c r="M33" s="11">
        <v>116.98333333333331</v>
      </c>
    </row>
    <row r="34" spans="1:13" x14ac:dyDescent="0.25">
      <c r="A34" s="6">
        <v>31</v>
      </c>
      <c r="B34" s="6" t="s">
        <v>198</v>
      </c>
      <c r="C34" s="6" t="s">
        <v>300</v>
      </c>
      <c r="D34" s="6" t="s">
        <v>28</v>
      </c>
      <c r="E34" s="6" t="s">
        <v>29</v>
      </c>
      <c r="F34" s="6" t="s">
        <v>130</v>
      </c>
      <c r="G34" s="10">
        <v>0</v>
      </c>
      <c r="H34" s="10">
        <v>29.483333333333331</v>
      </c>
      <c r="I34" s="10">
        <v>0.1105833333333333</v>
      </c>
      <c r="J34" s="10">
        <v>5.2666666666666666</v>
      </c>
      <c r="K34" s="10">
        <v>45.483333333333327</v>
      </c>
      <c r="L34" s="10">
        <v>28.733333333333331</v>
      </c>
      <c r="M34" s="10">
        <v>78.575700000000012</v>
      </c>
    </row>
    <row r="35" spans="1:13" x14ac:dyDescent="0.25">
      <c r="A35" s="8">
        <v>31</v>
      </c>
      <c r="B35" s="8" t="s">
        <v>198</v>
      </c>
      <c r="C35" s="8" t="s">
        <v>301</v>
      </c>
      <c r="D35" s="8" t="s">
        <v>28</v>
      </c>
      <c r="E35" s="8" t="s">
        <v>29</v>
      </c>
      <c r="F35" s="8" t="s">
        <v>130</v>
      </c>
      <c r="G35" s="11">
        <v>0</v>
      </c>
      <c r="H35" s="11">
        <v>21.383333333333329</v>
      </c>
      <c r="I35" s="11">
        <v>1</v>
      </c>
      <c r="J35" s="11">
        <v>0</v>
      </c>
      <c r="K35" s="11">
        <v>39.18333333333333</v>
      </c>
      <c r="L35" s="11">
        <v>30.466666666666669</v>
      </c>
      <c r="M35" s="11">
        <v>102.92506666666669</v>
      </c>
    </row>
    <row r="36" spans="1:13" x14ac:dyDescent="0.25">
      <c r="A36" s="6">
        <v>38</v>
      </c>
      <c r="B36" s="6" t="s">
        <v>223</v>
      </c>
      <c r="C36" s="6" t="s">
        <v>300</v>
      </c>
      <c r="D36" s="6" t="s">
        <v>28</v>
      </c>
      <c r="E36" s="6" t="s">
        <v>31</v>
      </c>
      <c r="F36" s="6" t="s">
        <v>31</v>
      </c>
      <c r="G36" s="10">
        <v>50.366666666666667</v>
      </c>
      <c r="H36" s="10">
        <v>8.3666666666666671</v>
      </c>
      <c r="I36" s="10">
        <v>17.350000000000001</v>
      </c>
      <c r="J36" s="10">
        <v>4.75</v>
      </c>
      <c r="K36" s="10">
        <v>75.683333333333337</v>
      </c>
      <c r="L36" s="10">
        <v>57.18333333333333</v>
      </c>
      <c r="M36" s="10">
        <v>181.3</v>
      </c>
    </row>
    <row r="37" spans="1:13" x14ac:dyDescent="0.25">
      <c r="A37" s="8">
        <v>38</v>
      </c>
      <c r="B37" s="8" t="s">
        <v>223</v>
      </c>
      <c r="C37" s="8" t="s">
        <v>301</v>
      </c>
      <c r="D37" s="8" t="s">
        <v>28</v>
      </c>
      <c r="E37" s="8" t="s">
        <v>31</v>
      </c>
      <c r="F37" s="8" t="s">
        <v>31</v>
      </c>
      <c r="G37" s="11">
        <v>0</v>
      </c>
      <c r="H37" s="11">
        <v>42.65</v>
      </c>
      <c r="I37" s="11">
        <v>4.45</v>
      </c>
      <c r="J37" s="11">
        <v>12.016666666666669</v>
      </c>
      <c r="K37" s="11">
        <v>57.411516666666657</v>
      </c>
      <c r="L37" s="11">
        <v>49.6</v>
      </c>
      <c r="M37" s="11">
        <v>208.83333333333329</v>
      </c>
    </row>
    <row r="38" spans="1:13" x14ac:dyDescent="0.25">
      <c r="A38" s="6">
        <v>42</v>
      </c>
      <c r="B38" s="6" t="s">
        <v>242</v>
      </c>
      <c r="C38" s="6" t="s">
        <v>300</v>
      </c>
      <c r="D38" s="6" t="s">
        <v>28</v>
      </c>
      <c r="E38" s="6" t="s">
        <v>33</v>
      </c>
      <c r="F38" s="6" t="s">
        <v>33</v>
      </c>
      <c r="G38" s="10">
        <v>63.2</v>
      </c>
      <c r="H38" s="10">
        <v>14.516666666666669</v>
      </c>
      <c r="I38" s="10">
        <v>29.516666666666669</v>
      </c>
      <c r="J38" s="10">
        <v>6.8833333333333337</v>
      </c>
      <c r="K38" s="10">
        <v>69.25</v>
      </c>
      <c r="L38" s="10">
        <v>57.887300000000003</v>
      </c>
      <c r="M38" s="10">
        <v>164.51666666666671</v>
      </c>
    </row>
    <row r="39" spans="1:13" x14ac:dyDescent="0.25">
      <c r="A39" s="8">
        <v>42</v>
      </c>
      <c r="B39" s="8" t="s">
        <v>242</v>
      </c>
      <c r="C39" s="8" t="s">
        <v>301</v>
      </c>
      <c r="D39" s="8" t="s">
        <v>28</v>
      </c>
      <c r="E39" s="8" t="s">
        <v>33</v>
      </c>
      <c r="F39" s="8" t="s">
        <v>33</v>
      </c>
      <c r="G39" s="11">
        <v>0</v>
      </c>
      <c r="H39" s="11">
        <v>20.583333333333329</v>
      </c>
      <c r="I39" s="11">
        <v>2.833333333333333</v>
      </c>
      <c r="J39" s="11">
        <v>4</v>
      </c>
      <c r="K39" s="11">
        <v>45.56666666666667</v>
      </c>
      <c r="L39" s="11">
        <v>33.783333333333331</v>
      </c>
      <c r="M39" s="11">
        <v>218.63815</v>
      </c>
    </row>
    <row r="40" spans="1:13" x14ac:dyDescent="0.25">
      <c r="A40" s="6">
        <v>48</v>
      </c>
      <c r="B40" s="6" t="s">
        <v>269</v>
      </c>
      <c r="C40" s="6" t="s">
        <v>300</v>
      </c>
      <c r="D40" s="6" t="s">
        <v>28</v>
      </c>
      <c r="E40" s="6" t="s">
        <v>33</v>
      </c>
      <c r="F40" s="6" t="s">
        <v>33</v>
      </c>
      <c r="G40" s="10">
        <v>0</v>
      </c>
      <c r="H40" s="10">
        <v>65.983333333333334</v>
      </c>
      <c r="I40" s="10">
        <v>30.533333333333331</v>
      </c>
      <c r="J40" s="10">
        <v>6.3833333333333337</v>
      </c>
      <c r="K40" s="10">
        <v>76.566666666666663</v>
      </c>
      <c r="L40" s="10">
        <v>59.983333333333327</v>
      </c>
      <c r="M40" s="10">
        <v>171.2833333333333</v>
      </c>
    </row>
    <row r="41" spans="1:13" x14ac:dyDescent="0.25">
      <c r="A41" s="8">
        <v>48</v>
      </c>
      <c r="B41" s="8" t="s">
        <v>269</v>
      </c>
      <c r="C41" s="8" t="s">
        <v>301</v>
      </c>
      <c r="D41" s="8" t="s">
        <v>28</v>
      </c>
      <c r="E41" s="8" t="s">
        <v>33</v>
      </c>
      <c r="F41" s="8" t="s">
        <v>33</v>
      </c>
      <c r="G41" s="11">
        <v>0</v>
      </c>
      <c r="H41" s="11">
        <v>35.4</v>
      </c>
      <c r="I41" s="11">
        <v>6.3166666666666664</v>
      </c>
      <c r="J41" s="11">
        <v>10.35</v>
      </c>
      <c r="K41" s="11">
        <v>65.8</v>
      </c>
      <c r="L41" s="11">
        <v>46.880533333333332</v>
      </c>
      <c r="M41" s="11">
        <v>183.4</v>
      </c>
    </row>
    <row r="42" spans="1:13" x14ac:dyDescent="0.25">
      <c r="A42" s="6">
        <v>51</v>
      </c>
      <c r="B42" s="6" t="s">
        <v>281</v>
      </c>
      <c r="C42" s="6" t="s">
        <v>300</v>
      </c>
      <c r="D42" s="6" t="s">
        <v>28</v>
      </c>
      <c r="E42" s="6" t="s">
        <v>29</v>
      </c>
      <c r="F42" s="6" t="s">
        <v>96</v>
      </c>
      <c r="G42" s="10">
        <v>0</v>
      </c>
      <c r="H42" s="10">
        <v>35.56666666666667</v>
      </c>
      <c r="I42" s="10">
        <v>30.984083333333331</v>
      </c>
      <c r="J42" s="10">
        <v>3.3</v>
      </c>
      <c r="K42" s="10">
        <v>67.480850000000004</v>
      </c>
      <c r="L42" s="10">
        <v>48.56666666666667</v>
      </c>
      <c r="M42" s="10">
        <v>79.916666666666671</v>
      </c>
    </row>
    <row r="43" spans="1:13" x14ac:dyDescent="0.25">
      <c r="A43" s="8">
        <v>51</v>
      </c>
      <c r="B43" s="8" t="s">
        <v>281</v>
      </c>
      <c r="C43" s="8" t="s">
        <v>301</v>
      </c>
      <c r="D43" s="8" t="s">
        <v>28</v>
      </c>
      <c r="E43" s="8" t="s">
        <v>29</v>
      </c>
      <c r="F43" s="8" t="s">
        <v>96</v>
      </c>
      <c r="G43" s="11">
        <v>0</v>
      </c>
      <c r="H43" s="11">
        <v>48.18333333333333</v>
      </c>
      <c r="I43" s="11">
        <v>17.666666666666671</v>
      </c>
      <c r="J43" s="11">
        <v>10.233333333333331</v>
      </c>
      <c r="K43" s="11">
        <v>51.033333333333331</v>
      </c>
      <c r="L43" s="11">
        <v>37.133333333333333</v>
      </c>
      <c r="M43" s="11">
        <v>121.31666666666671</v>
      </c>
    </row>
    <row r="44" spans="1:13" x14ac:dyDescent="0.25">
      <c r="A44" s="6">
        <v>52</v>
      </c>
      <c r="B44" s="6" t="s">
        <v>283</v>
      </c>
      <c r="C44" s="6" t="s">
        <v>300</v>
      </c>
      <c r="D44" s="6" t="s">
        <v>28</v>
      </c>
      <c r="E44" s="6" t="s">
        <v>29</v>
      </c>
      <c r="F44" s="6" t="s">
        <v>130</v>
      </c>
      <c r="G44" s="10">
        <v>0</v>
      </c>
      <c r="H44" s="10">
        <v>35.1</v>
      </c>
      <c r="I44" s="10">
        <v>15.116666666666671</v>
      </c>
      <c r="J44" s="10">
        <v>6.6</v>
      </c>
      <c r="K44" s="10">
        <v>73.302949999999996</v>
      </c>
      <c r="L44" s="10">
        <v>55.483333333333327</v>
      </c>
      <c r="M44" s="10">
        <v>78.349999999999994</v>
      </c>
    </row>
    <row r="45" spans="1:13" x14ac:dyDescent="0.25">
      <c r="A45" s="8">
        <v>52</v>
      </c>
      <c r="B45" s="8" t="s">
        <v>283</v>
      </c>
      <c r="C45" s="8" t="s">
        <v>301</v>
      </c>
      <c r="D45" s="8" t="s">
        <v>28</v>
      </c>
      <c r="E45" s="8" t="s">
        <v>29</v>
      </c>
      <c r="F45" s="8" t="s">
        <v>130</v>
      </c>
      <c r="G45" s="11">
        <v>0</v>
      </c>
      <c r="H45" s="11">
        <v>26.333333333333329</v>
      </c>
      <c r="I45" s="11">
        <v>10.016666666666669</v>
      </c>
      <c r="J45" s="11">
        <v>14.15</v>
      </c>
      <c r="K45" s="11">
        <v>51.266666666666673</v>
      </c>
      <c r="L45" s="11">
        <v>41.040366666666657</v>
      </c>
      <c r="M45" s="11">
        <v>143.5333333333333</v>
      </c>
    </row>
    <row r="46" spans="1:13" x14ac:dyDescent="0.25">
      <c r="A46" s="6">
        <v>53</v>
      </c>
      <c r="B46" s="6" t="s">
        <v>287</v>
      </c>
      <c r="C46" s="6" t="s">
        <v>300</v>
      </c>
      <c r="D46" s="6" t="s">
        <v>28</v>
      </c>
      <c r="E46" s="6" t="s">
        <v>31</v>
      </c>
      <c r="F46" s="6" t="s">
        <v>31</v>
      </c>
      <c r="G46" s="10">
        <v>44.68333333333333</v>
      </c>
      <c r="H46" s="10">
        <v>6.6833333333333336</v>
      </c>
      <c r="I46" s="10">
        <v>11.75</v>
      </c>
      <c r="J46" s="10">
        <v>2.0166666666666671</v>
      </c>
      <c r="K46" s="10">
        <v>64.3</v>
      </c>
      <c r="L46" s="10">
        <v>51.866666666666667</v>
      </c>
      <c r="M46" s="10">
        <v>172.54785000000001</v>
      </c>
    </row>
    <row r="47" spans="1:13" x14ac:dyDescent="0.25">
      <c r="A47" s="8">
        <v>53</v>
      </c>
      <c r="B47" s="8" t="s">
        <v>287</v>
      </c>
      <c r="C47" s="8" t="s">
        <v>301</v>
      </c>
      <c r="D47" s="8" t="s">
        <v>28</v>
      </c>
      <c r="E47" s="8" t="s">
        <v>31</v>
      </c>
      <c r="F47" s="8" t="s">
        <v>31</v>
      </c>
      <c r="G47" s="11">
        <v>0</v>
      </c>
      <c r="H47" s="11">
        <v>3.0166666666666671</v>
      </c>
      <c r="I47" s="11">
        <v>4.3</v>
      </c>
      <c r="J47" s="11">
        <v>1.8833333333333331</v>
      </c>
      <c r="K47" s="11">
        <v>48.913433333333337</v>
      </c>
      <c r="L47" s="11">
        <v>35.333333333333343</v>
      </c>
      <c r="M47" s="11">
        <v>224.5</v>
      </c>
    </row>
    <row r="48" spans="1:13" x14ac:dyDescent="0.25">
      <c r="A48" s="6">
        <v>54</v>
      </c>
      <c r="B48" s="6" t="s">
        <v>289</v>
      </c>
      <c r="C48" s="6" t="s">
        <v>300</v>
      </c>
      <c r="D48" s="6" t="s">
        <v>28</v>
      </c>
      <c r="E48" s="6" t="s">
        <v>33</v>
      </c>
      <c r="F48" s="6" t="s">
        <v>33</v>
      </c>
      <c r="G48" s="10">
        <v>34.833333333333343</v>
      </c>
      <c r="H48" s="10">
        <v>58.166666666666657</v>
      </c>
      <c r="I48" s="10">
        <v>21.679983333333329</v>
      </c>
      <c r="J48" s="10">
        <v>8</v>
      </c>
      <c r="K48" s="10">
        <v>64.5</v>
      </c>
      <c r="L48" s="10">
        <v>53.652149999999999</v>
      </c>
      <c r="M48" s="10">
        <v>176.5333333333333</v>
      </c>
    </row>
    <row r="49" spans="1:13" x14ac:dyDescent="0.25">
      <c r="A49" s="8">
        <v>54</v>
      </c>
      <c r="B49" s="8" t="s">
        <v>289</v>
      </c>
      <c r="C49" s="8" t="s">
        <v>301</v>
      </c>
      <c r="D49" s="8" t="s">
        <v>28</v>
      </c>
      <c r="E49" s="8" t="s">
        <v>33</v>
      </c>
      <c r="F49" s="8" t="s">
        <v>33</v>
      </c>
      <c r="G49" s="11">
        <v>0</v>
      </c>
      <c r="H49" s="11">
        <v>24.31666666666667</v>
      </c>
      <c r="I49" s="11">
        <v>2.666666666666667</v>
      </c>
      <c r="J49" s="11">
        <v>5.6833333333333336</v>
      </c>
      <c r="K49" s="11">
        <v>44.466666666666669</v>
      </c>
      <c r="L49" s="11">
        <v>32.450000000000003</v>
      </c>
      <c r="M49" s="11">
        <v>243.15</v>
      </c>
    </row>
    <row r="52" spans="1:13" ht="27.95" customHeight="1" x14ac:dyDescent="0.25">
      <c r="A52" s="55" t="s">
        <v>314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</row>
    <row r="53" spans="1:13" ht="3.9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5" spans="1:13" ht="30" x14ac:dyDescent="0.25">
      <c r="A55" s="9" t="s">
        <v>59</v>
      </c>
      <c r="B55" s="9" t="s">
        <v>60</v>
      </c>
      <c r="C55" s="9" t="s">
        <v>292</v>
      </c>
      <c r="D55" s="9" t="s">
        <v>24</v>
      </c>
      <c r="E55" s="9" t="s">
        <v>61</v>
      </c>
      <c r="F55" s="9" t="s">
        <v>62</v>
      </c>
      <c r="G55" s="9" t="s">
        <v>293</v>
      </c>
      <c r="H55" s="9" t="s">
        <v>294</v>
      </c>
      <c r="I55" s="9" t="s">
        <v>295</v>
      </c>
      <c r="J55" s="9" t="s">
        <v>296</v>
      </c>
      <c r="K55" s="9" t="s">
        <v>297</v>
      </c>
      <c r="L55" s="9" t="s">
        <v>298</v>
      </c>
      <c r="M55" s="9" t="s">
        <v>299</v>
      </c>
    </row>
    <row r="56" spans="1:13" x14ac:dyDescent="0.25">
      <c r="A56" s="6">
        <v>4</v>
      </c>
      <c r="B56" s="6" t="s">
        <v>95</v>
      </c>
      <c r="C56" s="6" t="s">
        <v>300</v>
      </c>
      <c r="D56" s="6" t="s">
        <v>28</v>
      </c>
      <c r="E56" s="6" t="s">
        <v>29</v>
      </c>
      <c r="F56" s="6" t="s">
        <v>96</v>
      </c>
      <c r="G56" s="10">
        <v>0</v>
      </c>
      <c r="H56" s="10">
        <v>0.35568686098748031</v>
      </c>
      <c r="I56" s="10">
        <v>0.57585003194744566</v>
      </c>
      <c r="J56" s="10">
        <v>0.62657519758941227</v>
      </c>
      <c r="K56" s="10">
        <v>44.777394576317398</v>
      </c>
      <c r="L56" s="10">
        <v>31.030770141318762</v>
      </c>
      <c r="M56" s="10">
        <v>70.832492215617009</v>
      </c>
    </row>
    <row r="57" spans="1:13" x14ac:dyDescent="0.25">
      <c r="A57" s="8">
        <v>4</v>
      </c>
      <c r="B57" s="8" t="s">
        <v>95</v>
      </c>
      <c r="C57" s="8" t="s">
        <v>301</v>
      </c>
      <c r="D57" s="8" t="s">
        <v>28</v>
      </c>
      <c r="E57" s="8" t="s">
        <v>29</v>
      </c>
      <c r="F57" s="8" t="s">
        <v>96</v>
      </c>
      <c r="G57" s="11">
        <v>0</v>
      </c>
      <c r="H57" s="11">
        <v>0.83987814360898194</v>
      </c>
      <c r="I57" s="11">
        <v>1.7979996304002079</v>
      </c>
      <c r="J57" s="11">
        <v>0.57590785271071809</v>
      </c>
      <c r="K57" s="11">
        <v>16.043682536598411</v>
      </c>
      <c r="L57" s="11">
        <v>16.779596658523619</v>
      </c>
      <c r="M57" s="11">
        <v>112.0883548622644</v>
      </c>
    </row>
    <row r="58" spans="1:13" x14ac:dyDescent="0.25">
      <c r="A58" s="6">
        <v>11</v>
      </c>
      <c r="B58" s="6" t="s">
        <v>129</v>
      </c>
      <c r="C58" s="6" t="s">
        <v>300</v>
      </c>
      <c r="D58" s="6" t="s">
        <v>28</v>
      </c>
      <c r="E58" s="6" t="s">
        <v>29</v>
      </c>
      <c r="F58" s="6" t="s">
        <v>130</v>
      </c>
      <c r="G58" s="10">
        <v>0</v>
      </c>
      <c r="H58" s="10">
        <v>1.3321013582624259</v>
      </c>
      <c r="I58" s="10">
        <v>0.75410540916294477</v>
      </c>
      <c r="J58" s="10">
        <v>0.43943113160824449</v>
      </c>
      <c r="K58" s="10">
        <v>42.768056236857731</v>
      </c>
      <c r="L58" s="10">
        <v>29.775024172432051</v>
      </c>
      <c r="M58" s="10">
        <v>68.609609149335569</v>
      </c>
    </row>
    <row r="59" spans="1:13" x14ac:dyDescent="0.25">
      <c r="A59" s="8">
        <v>11</v>
      </c>
      <c r="B59" s="8" t="s">
        <v>129</v>
      </c>
      <c r="C59" s="8" t="s">
        <v>301</v>
      </c>
      <c r="D59" s="8" t="s">
        <v>28</v>
      </c>
      <c r="E59" s="8" t="s">
        <v>29</v>
      </c>
      <c r="F59" s="8" t="s">
        <v>130</v>
      </c>
      <c r="G59" s="11">
        <v>0</v>
      </c>
      <c r="H59" s="11">
        <v>0.43407803900839542</v>
      </c>
      <c r="I59" s="11">
        <v>2.0389552164336071</v>
      </c>
      <c r="J59" s="11">
        <v>0.27011205530314503</v>
      </c>
      <c r="K59" s="11">
        <v>30.597979144685119</v>
      </c>
      <c r="L59" s="11">
        <v>25.113544257186629</v>
      </c>
      <c r="M59" s="11">
        <v>85.251434402970759</v>
      </c>
    </row>
    <row r="60" spans="1:13" x14ac:dyDescent="0.25">
      <c r="A60" s="6">
        <v>18</v>
      </c>
      <c r="B60" s="6" t="s">
        <v>162</v>
      </c>
      <c r="C60" s="6" t="s">
        <v>300</v>
      </c>
      <c r="D60" s="6" t="s">
        <v>28</v>
      </c>
      <c r="E60" s="6" t="s">
        <v>29</v>
      </c>
      <c r="F60" s="6" t="s">
        <v>96</v>
      </c>
      <c r="G60" s="10">
        <v>0</v>
      </c>
      <c r="H60" s="10">
        <v>0.38306581509713777</v>
      </c>
      <c r="I60" s="10">
        <v>2.078327234216284</v>
      </c>
      <c r="J60" s="10">
        <v>0.20461421027387261</v>
      </c>
      <c r="K60" s="10">
        <v>36.808470594235978</v>
      </c>
      <c r="L60" s="10">
        <v>24.895439135578741</v>
      </c>
      <c r="M60" s="10">
        <v>77.229137978621239</v>
      </c>
    </row>
    <row r="61" spans="1:13" x14ac:dyDescent="0.25">
      <c r="A61" s="8">
        <v>18</v>
      </c>
      <c r="B61" s="8" t="s">
        <v>162</v>
      </c>
      <c r="C61" s="8" t="s">
        <v>301</v>
      </c>
      <c r="D61" s="8" t="s">
        <v>28</v>
      </c>
      <c r="E61" s="8" t="s">
        <v>29</v>
      </c>
      <c r="F61" s="8" t="s">
        <v>96</v>
      </c>
      <c r="G61" s="11">
        <v>0</v>
      </c>
      <c r="H61" s="11">
        <v>0.22156090055420241</v>
      </c>
      <c r="I61" s="11">
        <v>0</v>
      </c>
      <c r="J61" s="11">
        <v>0.11647473715777031</v>
      </c>
      <c r="K61" s="11">
        <v>21.52025885865341</v>
      </c>
      <c r="L61" s="11">
        <v>17.069852156212249</v>
      </c>
      <c r="M61" s="11">
        <v>102.738159054381</v>
      </c>
    </row>
    <row r="62" spans="1:13" x14ac:dyDescent="0.25">
      <c r="A62" s="6">
        <v>23</v>
      </c>
      <c r="B62" s="6" t="s">
        <v>176</v>
      </c>
      <c r="C62" s="6" t="s">
        <v>300</v>
      </c>
      <c r="D62" s="6" t="s">
        <v>28</v>
      </c>
      <c r="E62" s="6" t="s">
        <v>29</v>
      </c>
      <c r="F62" s="6" t="s">
        <v>130</v>
      </c>
      <c r="G62" s="10">
        <v>0</v>
      </c>
      <c r="H62" s="10">
        <v>0.34290254186703961</v>
      </c>
      <c r="I62" s="10">
        <v>1.0454776733830049</v>
      </c>
      <c r="J62" s="10">
        <v>0.40432001006129498</v>
      </c>
      <c r="K62" s="10">
        <v>41.471081570571563</v>
      </c>
      <c r="L62" s="10">
        <v>30.614880435193118</v>
      </c>
      <c r="M62" s="10">
        <v>63.969189047693213</v>
      </c>
    </row>
    <row r="63" spans="1:13" x14ac:dyDescent="0.25">
      <c r="A63" s="8">
        <v>23</v>
      </c>
      <c r="B63" s="8" t="s">
        <v>176</v>
      </c>
      <c r="C63" s="8" t="s">
        <v>301</v>
      </c>
      <c r="D63" s="8" t="s">
        <v>28</v>
      </c>
      <c r="E63" s="8" t="s">
        <v>29</v>
      </c>
      <c r="F63" s="8" t="s">
        <v>130</v>
      </c>
      <c r="G63" s="11">
        <v>0</v>
      </c>
      <c r="H63" s="11">
        <v>0.11699904226004509</v>
      </c>
      <c r="I63" s="11">
        <v>0.98289890323061291</v>
      </c>
      <c r="J63" s="11">
        <v>0.76496157447860036</v>
      </c>
      <c r="K63" s="11">
        <v>36.712209444916184</v>
      </c>
      <c r="L63" s="11">
        <v>25.040527354235781</v>
      </c>
      <c r="M63" s="11">
        <v>74.293641117732662</v>
      </c>
    </row>
    <row r="64" spans="1:13" x14ac:dyDescent="0.25">
      <c r="A64" s="6">
        <v>28</v>
      </c>
      <c r="B64" s="6" t="s">
        <v>188</v>
      </c>
      <c r="C64" s="6" t="s">
        <v>300</v>
      </c>
      <c r="D64" s="6" t="s">
        <v>28</v>
      </c>
      <c r="E64" s="6" t="s">
        <v>29</v>
      </c>
      <c r="F64" s="6" t="s">
        <v>96</v>
      </c>
      <c r="G64" s="10">
        <v>0</v>
      </c>
      <c r="H64" s="10">
        <v>0.25917593164792052</v>
      </c>
      <c r="I64" s="10">
        <v>0.70863313939923567</v>
      </c>
      <c r="J64" s="10">
        <v>0</v>
      </c>
      <c r="K64" s="10">
        <v>37.603304668082593</v>
      </c>
      <c r="L64" s="10">
        <v>27.74280476419689</v>
      </c>
      <c r="M64" s="10">
        <v>79.592523770954102</v>
      </c>
    </row>
    <row r="65" spans="1:13" x14ac:dyDescent="0.25">
      <c r="A65" s="8">
        <v>28</v>
      </c>
      <c r="B65" s="8" t="s">
        <v>188</v>
      </c>
      <c r="C65" s="8" t="s">
        <v>301</v>
      </c>
      <c r="D65" s="8" t="s">
        <v>28</v>
      </c>
      <c r="E65" s="8" t="s">
        <v>29</v>
      </c>
      <c r="F65" s="8" t="s">
        <v>96</v>
      </c>
      <c r="G65" s="11">
        <v>0</v>
      </c>
      <c r="H65" s="11">
        <v>0.54905123843358739</v>
      </c>
      <c r="I65" s="11">
        <v>0.55256306869115623</v>
      </c>
      <c r="J65" s="11">
        <v>0.82406643556007364</v>
      </c>
      <c r="K65" s="11">
        <v>27.609909695058061</v>
      </c>
      <c r="L65" s="11">
        <v>19.892928271907479</v>
      </c>
      <c r="M65" s="11">
        <v>96.565811989808935</v>
      </c>
    </row>
    <row r="66" spans="1:13" x14ac:dyDescent="0.25">
      <c r="A66" s="6">
        <v>31</v>
      </c>
      <c r="B66" s="6" t="s">
        <v>198</v>
      </c>
      <c r="C66" s="6" t="s">
        <v>300</v>
      </c>
      <c r="D66" s="6" t="s">
        <v>28</v>
      </c>
      <c r="E66" s="6" t="s">
        <v>29</v>
      </c>
      <c r="F66" s="6" t="s">
        <v>130</v>
      </c>
      <c r="G66" s="10">
        <v>0</v>
      </c>
      <c r="H66" s="10">
        <v>0.42983924609536989</v>
      </c>
      <c r="I66" s="10">
        <v>5.8482869291778893E-2</v>
      </c>
      <c r="J66" s="10">
        <v>0.35482326921949731</v>
      </c>
      <c r="K66" s="10">
        <v>37.109061687706358</v>
      </c>
      <c r="L66" s="10">
        <v>23.384143051110669</v>
      </c>
      <c r="M66" s="10">
        <v>62.656294523540041</v>
      </c>
    </row>
    <row r="67" spans="1:13" x14ac:dyDescent="0.25">
      <c r="A67" s="8">
        <v>31</v>
      </c>
      <c r="B67" s="8" t="s">
        <v>198</v>
      </c>
      <c r="C67" s="8" t="s">
        <v>301</v>
      </c>
      <c r="D67" s="8" t="s">
        <v>28</v>
      </c>
      <c r="E67" s="8" t="s">
        <v>29</v>
      </c>
      <c r="F67" s="8" t="s">
        <v>130</v>
      </c>
      <c r="G67" s="11">
        <v>0</v>
      </c>
      <c r="H67" s="11">
        <v>0.1090721560237224</v>
      </c>
      <c r="I67" s="11">
        <v>0.87783172684814326</v>
      </c>
      <c r="J67" s="11">
        <v>0</v>
      </c>
      <c r="K67" s="11">
        <v>28.213201619757211</v>
      </c>
      <c r="L67" s="11">
        <v>20.93633895165053</v>
      </c>
      <c r="M67" s="11">
        <v>73.843830613428992</v>
      </c>
    </row>
    <row r="68" spans="1:13" x14ac:dyDescent="0.25">
      <c r="A68" s="6">
        <v>38</v>
      </c>
      <c r="B68" s="6" t="s">
        <v>223</v>
      </c>
      <c r="C68" s="6" t="s">
        <v>300</v>
      </c>
      <c r="D68" s="6" t="s">
        <v>28</v>
      </c>
      <c r="E68" s="6" t="s">
        <v>31</v>
      </c>
      <c r="F68" s="6" t="s">
        <v>31</v>
      </c>
      <c r="G68" s="10">
        <v>0.1423627546916193</v>
      </c>
      <c r="H68" s="10">
        <v>0.19087658536061269</v>
      </c>
      <c r="I68" s="10">
        <v>0.1087001286100384</v>
      </c>
      <c r="J68" s="10">
        <v>0.39868431866922599</v>
      </c>
      <c r="K68" s="10">
        <v>67.358249040373622</v>
      </c>
      <c r="L68" s="10">
        <v>52.262791432987221</v>
      </c>
      <c r="M68" s="10">
        <v>205.89310831389679</v>
      </c>
    </row>
    <row r="69" spans="1:13" x14ac:dyDescent="0.25">
      <c r="A69" s="8">
        <v>38</v>
      </c>
      <c r="B69" s="8" t="s">
        <v>223</v>
      </c>
      <c r="C69" s="8" t="s">
        <v>301</v>
      </c>
      <c r="D69" s="8" t="s">
        <v>28</v>
      </c>
      <c r="E69" s="8" t="s">
        <v>31</v>
      </c>
      <c r="F69" s="8" t="s">
        <v>31</v>
      </c>
      <c r="G69" s="11">
        <v>0</v>
      </c>
      <c r="H69" s="11">
        <v>0.54761889554039</v>
      </c>
      <c r="I69" s="11">
        <v>5.0473616639224998E-2</v>
      </c>
      <c r="J69" s="11">
        <v>0.94513627935308775</v>
      </c>
      <c r="K69" s="11">
        <v>50.571016219655441</v>
      </c>
      <c r="L69" s="11">
        <v>45.612596971397018</v>
      </c>
      <c r="M69" s="11">
        <v>228.21925521167481</v>
      </c>
    </row>
    <row r="70" spans="1:13" x14ac:dyDescent="0.25">
      <c r="A70" s="6">
        <v>42</v>
      </c>
      <c r="B70" s="6" t="s">
        <v>242</v>
      </c>
      <c r="C70" s="6" t="s">
        <v>300</v>
      </c>
      <c r="D70" s="6" t="s">
        <v>28</v>
      </c>
      <c r="E70" s="6" t="s">
        <v>33</v>
      </c>
      <c r="F70" s="6" t="s">
        <v>33</v>
      </c>
      <c r="G70" s="10">
        <v>0.1119717603069536</v>
      </c>
      <c r="H70" s="10">
        <v>8.2158448585864255E-2</v>
      </c>
      <c r="I70" s="10">
        <v>1.643615657683831E-2</v>
      </c>
      <c r="J70" s="10">
        <v>0.5125712172728395</v>
      </c>
      <c r="K70" s="10">
        <v>67.117549684267743</v>
      </c>
      <c r="L70" s="10">
        <v>56.356321664556063</v>
      </c>
      <c r="M70" s="10">
        <v>197.66418683099539</v>
      </c>
    </row>
    <row r="71" spans="1:13" x14ac:dyDescent="0.25">
      <c r="A71" s="8">
        <v>42</v>
      </c>
      <c r="B71" s="8" t="s">
        <v>242</v>
      </c>
      <c r="C71" s="8" t="s">
        <v>301</v>
      </c>
      <c r="D71" s="8" t="s">
        <v>28</v>
      </c>
      <c r="E71" s="8" t="s">
        <v>33</v>
      </c>
      <c r="F71" s="8" t="s">
        <v>33</v>
      </c>
      <c r="G71" s="11">
        <v>0</v>
      </c>
      <c r="H71" s="11">
        <v>0.47667835410688608</v>
      </c>
      <c r="I71" s="11">
        <v>1.27297174998127E-2</v>
      </c>
      <c r="J71" s="11">
        <v>0.4202840859765154</v>
      </c>
      <c r="K71" s="11">
        <v>40.651361378664021</v>
      </c>
      <c r="L71" s="11">
        <v>31.659462752029832</v>
      </c>
      <c r="M71" s="11">
        <v>249.21290311643861</v>
      </c>
    </row>
    <row r="72" spans="1:13" x14ac:dyDescent="0.25">
      <c r="A72" s="6">
        <v>48</v>
      </c>
      <c r="B72" s="6" t="s">
        <v>269</v>
      </c>
      <c r="C72" s="6" t="s">
        <v>300</v>
      </c>
      <c r="D72" s="6" t="s">
        <v>28</v>
      </c>
      <c r="E72" s="6" t="s">
        <v>33</v>
      </c>
      <c r="F72" s="6" t="s">
        <v>33</v>
      </c>
      <c r="G72" s="10">
        <v>0</v>
      </c>
      <c r="H72" s="10">
        <v>0.24021946013287521</v>
      </c>
      <c r="I72" s="10">
        <v>0.21586370090681031</v>
      </c>
      <c r="J72" s="10">
        <v>0.59801557616878198</v>
      </c>
      <c r="K72" s="10">
        <v>71.216839058001057</v>
      </c>
      <c r="L72" s="10">
        <v>57.608886510204798</v>
      </c>
      <c r="M72" s="10">
        <v>195.5190827900918</v>
      </c>
    </row>
    <row r="73" spans="1:13" x14ac:dyDescent="0.25">
      <c r="A73" s="8">
        <v>48</v>
      </c>
      <c r="B73" s="8" t="s">
        <v>269</v>
      </c>
      <c r="C73" s="8" t="s">
        <v>301</v>
      </c>
      <c r="D73" s="8" t="s">
        <v>28</v>
      </c>
      <c r="E73" s="8" t="s">
        <v>33</v>
      </c>
      <c r="F73" s="8" t="s">
        <v>33</v>
      </c>
      <c r="G73" s="11">
        <v>0</v>
      </c>
      <c r="H73" s="11">
        <v>0.45036794227206151</v>
      </c>
      <c r="I73" s="11">
        <v>6.3170939991916364E-2</v>
      </c>
      <c r="J73" s="11">
        <v>0.91605902538235162</v>
      </c>
      <c r="K73" s="11">
        <v>59.818804156881647</v>
      </c>
      <c r="L73" s="11">
        <v>44.251155441805381</v>
      </c>
      <c r="M73" s="11">
        <v>219.38476491375911</v>
      </c>
    </row>
    <row r="74" spans="1:13" x14ac:dyDescent="0.25">
      <c r="A74" s="6">
        <v>51</v>
      </c>
      <c r="B74" s="6" t="s">
        <v>281</v>
      </c>
      <c r="C74" s="6" t="s">
        <v>300</v>
      </c>
      <c r="D74" s="6" t="s">
        <v>28</v>
      </c>
      <c r="E74" s="6" t="s">
        <v>29</v>
      </c>
      <c r="F74" s="6" t="s">
        <v>96</v>
      </c>
      <c r="G74" s="10">
        <v>0</v>
      </c>
      <c r="H74" s="10">
        <v>0.59332623218911007</v>
      </c>
      <c r="I74" s="10">
        <v>0.60827748536033199</v>
      </c>
      <c r="J74" s="10">
        <v>0.30723605634976031</v>
      </c>
      <c r="K74" s="10">
        <v>47.848227987467823</v>
      </c>
      <c r="L74" s="10">
        <v>34.798057659764133</v>
      </c>
      <c r="M74" s="10">
        <v>69.521351283950381</v>
      </c>
    </row>
    <row r="75" spans="1:13" x14ac:dyDescent="0.25">
      <c r="A75" s="8">
        <v>51</v>
      </c>
      <c r="B75" s="8" t="s">
        <v>281</v>
      </c>
      <c r="C75" s="8" t="s">
        <v>301</v>
      </c>
      <c r="D75" s="8" t="s">
        <v>28</v>
      </c>
      <c r="E75" s="8" t="s">
        <v>29</v>
      </c>
      <c r="F75" s="8" t="s">
        <v>96</v>
      </c>
      <c r="G75" s="11">
        <v>0</v>
      </c>
      <c r="H75" s="11">
        <v>0.65269298090049266</v>
      </c>
      <c r="I75" s="11">
        <v>1.4671353884529701</v>
      </c>
      <c r="J75" s="11">
        <v>1.325529204266642</v>
      </c>
      <c r="K75" s="11">
        <v>32.194796924640961</v>
      </c>
      <c r="L75" s="11">
        <v>24.26414905968165</v>
      </c>
      <c r="M75" s="11">
        <v>93.626436720487092</v>
      </c>
    </row>
    <row r="76" spans="1:13" x14ac:dyDescent="0.25">
      <c r="A76" s="6">
        <v>52</v>
      </c>
      <c r="B76" s="6" t="s">
        <v>283</v>
      </c>
      <c r="C76" s="6" t="s">
        <v>300</v>
      </c>
      <c r="D76" s="6" t="s">
        <v>28</v>
      </c>
      <c r="E76" s="6" t="s">
        <v>29</v>
      </c>
      <c r="F76" s="6" t="s">
        <v>130</v>
      </c>
      <c r="G76" s="10">
        <v>0</v>
      </c>
      <c r="H76" s="10">
        <v>0.1862366457606098</v>
      </c>
      <c r="I76" s="10">
        <v>0.29756116596851101</v>
      </c>
      <c r="J76" s="10">
        <v>1.4208131798353429</v>
      </c>
      <c r="K76" s="10">
        <v>52.756028546138587</v>
      </c>
      <c r="L76" s="10">
        <v>37.953041680685587</v>
      </c>
      <c r="M76" s="10">
        <v>58.946475557855408</v>
      </c>
    </row>
    <row r="77" spans="1:13" x14ac:dyDescent="0.25">
      <c r="A77" s="8">
        <v>52</v>
      </c>
      <c r="B77" s="8" t="s">
        <v>283</v>
      </c>
      <c r="C77" s="8" t="s">
        <v>301</v>
      </c>
      <c r="D77" s="8" t="s">
        <v>28</v>
      </c>
      <c r="E77" s="8" t="s">
        <v>29</v>
      </c>
      <c r="F77" s="8" t="s">
        <v>130</v>
      </c>
      <c r="G77" s="11">
        <v>0</v>
      </c>
      <c r="H77" s="11">
        <v>0.36612590067079281</v>
      </c>
      <c r="I77" s="11">
        <v>0.5256426997626461</v>
      </c>
      <c r="J77" s="11">
        <v>1.2052897532145439</v>
      </c>
      <c r="K77" s="11">
        <v>29.795163922103889</v>
      </c>
      <c r="L77" s="11">
        <v>24.547360757977579</v>
      </c>
      <c r="M77" s="11">
        <v>95.669722271772159</v>
      </c>
    </row>
    <row r="78" spans="1:13" x14ac:dyDescent="0.25">
      <c r="A78" s="6">
        <v>53</v>
      </c>
      <c r="B78" s="6" t="s">
        <v>287</v>
      </c>
      <c r="C78" s="6" t="s">
        <v>300</v>
      </c>
      <c r="D78" s="6" t="s">
        <v>28</v>
      </c>
      <c r="E78" s="6" t="s">
        <v>31</v>
      </c>
      <c r="F78" s="6" t="s">
        <v>31</v>
      </c>
      <c r="G78" s="10">
        <v>5.2222732101069563E-2</v>
      </c>
      <c r="H78" s="10">
        <v>0.12701409600270411</v>
      </c>
      <c r="I78" s="10">
        <v>3.1548608690509579E-2</v>
      </c>
      <c r="J78" s="10">
        <v>0.16750319091501231</v>
      </c>
      <c r="K78" s="10">
        <v>59.942098202755432</v>
      </c>
      <c r="L78" s="10">
        <v>53.823119668093447</v>
      </c>
      <c r="M78" s="10">
        <v>211.265551707941</v>
      </c>
    </row>
    <row r="79" spans="1:13" x14ac:dyDescent="0.25">
      <c r="A79" s="8">
        <v>53</v>
      </c>
      <c r="B79" s="8" t="s">
        <v>287</v>
      </c>
      <c r="C79" s="8" t="s">
        <v>301</v>
      </c>
      <c r="D79" s="8" t="s">
        <v>28</v>
      </c>
      <c r="E79" s="8" t="s">
        <v>31</v>
      </c>
      <c r="F79" s="8" t="s">
        <v>31</v>
      </c>
      <c r="G79" s="11">
        <v>0</v>
      </c>
      <c r="H79" s="11">
        <v>2.1664931883547331E-3</v>
      </c>
      <c r="I79" s="11">
        <v>4.085835435001741E-2</v>
      </c>
      <c r="J79" s="11">
        <v>0.36129624957342932</v>
      </c>
      <c r="K79" s="11">
        <v>42.408761093682124</v>
      </c>
      <c r="L79" s="11">
        <v>30.728695534576911</v>
      </c>
      <c r="M79" s="11">
        <v>251.55385390647561</v>
      </c>
    </row>
    <row r="80" spans="1:13" x14ac:dyDescent="0.25">
      <c r="A80" s="6">
        <v>54</v>
      </c>
      <c r="B80" s="6" t="s">
        <v>289</v>
      </c>
      <c r="C80" s="6" t="s">
        <v>300</v>
      </c>
      <c r="D80" s="6" t="s">
        <v>28</v>
      </c>
      <c r="E80" s="6" t="s">
        <v>33</v>
      </c>
      <c r="F80" s="6" t="s">
        <v>33</v>
      </c>
      <c r="G80" s="10">
        <v>8.8935996553685642E-2</v>
      </c>
      <c r="H80" s="10">
        <v>0.32793162569742029</v>
      </c>
      <c r="I80" s="10">
        <v>0.10141816483241591</v>
      </c>
      <c r="J80" s="10">
        <v>0.57665162648251256</v>
      </c>
      <c r="K80" s="10">
        <v>63.630851515328487</v>
      </c>
      <c r="L80" s="10">
        <v>53.728638461221273</v>
      </c>
      <c r="M80" s="10">
        <v>206.0150800117203</v>
      </c>
    </row>
    <row r="81" spans="1:13" x14ac:dyDescent="0.25">
      <c r="A81" s="8">
        <v>54</v>
      </c>
      <c r="B81" s="8" t="s">
        <v>289</v>
      </c>
      <c r="C81" s="8" t="s">
        <v>301</v>
      </c>
      <c r="D81" s="8" t="s">
        <v>28</v>
      </c>
      <c r="E81" s="8" t="s">
        <v>33</v>
      </c>
      <c r="F81" s="8" t="s">
        <v>33</v>
      </c>
      <c r="G81" s="11">
        <v>0</v>
      </c>
      <c r="H81" s="11">
        <v>0.44236745429158209</v>
      </c>
      <c r="I81" s="11">
        <v>0.428265735708522</v>
      </c>
      <c r="J81" s="11">
        <v>0.51104472499002784</v>
      </c>
      <c r="K81" s="11">
        <v>36.406613940185977</v>
      </c>
      <c r="L81" s="11">
        <v>29.047822987177661</v>
      </c>
      <c r="M81" s="11">
        <v>258.19733356892652</v>
      </c>
    </row>
  </sheetData>
  <autoFilter ref="A55:M81"/>
  <mergeCells count="3">
    <mergeCell ref="A1:T1"/>
    <mergeCell ref="A20:M20"/>
    <mergeCell ref="A52:M5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9" width="22" customWidth="1"/>
    <col min="10" max="10" width="28" customWidth="1"/>
    <col min="11" max="11" width="26" customWidth="1"/>
    <col min="12" max="16" width="19" customWidth="1"/>
    <col min="17" max="17" width="15" customWidth="1"/>
    <col min="18" max="18" width="13" customWidth="1"/>
    <col min="19" max="19" width="16" customWidth="1"/>
    <col min="20" max="20" width="14" customWidth="1"/>
    <col min="21" max="22" width="28" customWidth="1"/>
  </cols>
  <sheetData>
    <row r="1" spans="1:22" ht="27.95" customHeight="1" x14ac:dyDescent="0.25">
      <c r="A1" s="55" t="s">
        <v>315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2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2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316</v>
      </c>
      <c r="J4" s="9" t="s">
        <v>317</v>
      </c>
      <c r="K4" s="9" t="s">
        <v>318</v>
      </c>
      <c r="L4" s="9" t="s">
        <v>319</v>
      </c>
      <c r="M4" s="9" t="s">
        <v>65</v>
      </c>
      <c r="N4" s="9" t="s">
        <v>66</v>
      </c>
      <c r="O4" s="9" t="s">
        <v>67</v>
      </c>
      <c r="P4" s="9" t="s">
        <v>68</v>
      </c>
      <c r="Q4" s="9" t="s">
        <v>69</v>
      </c>
      <c r="R4" s="9" t="s">
        <v>70</v>
      </c>
      <c r="S4" s="9" t="s">
        <v>71</v>
      </c>
      <c r="T4" s="9" t="s">
        <v>72</v>
      </c>
      <c r="U4" s="9" t="s">
        <v>73</v>
      </c>
      <c r="V4" s="9" t="s">
        <v>74</v>
      </c>
    </row>
    <row r="5" spans="1:22" x14ac:dyDescent="0.25">
      <c r="A5" s="6">
        <v>3</v>
      </c>
      <c r="B5" s="6" t="s">
        <v>87</v>
      </c>
      <c r="C5" s="6" t="s">
        <v>44</v>
      </c>
      <c r="D5" s="6" t="s">
        <v>28</v>
      </c>
      <c r="E5" s="6" t="s">
        <v>35</v>
      </c>
      <c r="F5" s="6" t="s">
        <v>88</v>
      </c>
      <c r="G5" s="6" t="s">
        <v>89</v>
      </c>
      <c r="H5" s="6" t="s">
        <v>90</v>
      </c>
      <c r="I5" s="6" t="s">
        <v>309</v>
      </c>
      <c r="J5" s="10">
        <v>59.049999999999947</v>
      </c>
      <c r="K5" s="10">
        <v>120</v>
      </c>
      <c r="L5" s="6" t="s">
        <v>309</v>
      </c>
      <c r="M5" s="10">
        <v>320.33950971072761</v>
      </c>
      <c r="N5" s="10">
        <v>320.68901803404901</v>
      </c>
      <c r="O5" s="10">
        <v>345.61666666666667</v>
      </c>
      <c r="P5" s="10">
        <v>358.39743333333331</v>
      </c>
      <c r="Q5" s="6" t="s">
        <v>91</v>
      </c>
      <c r="R5" s="6" t="s">
        <v>92</v>
      </c>
      <c r="S5" s="6" t="s">
        <v>93</v>
      </c>
      <c r="T5" s="6" t="s">
        <v>94</v>
      </c>
      <c r="U5" s="10">
        <v>64.616756627859615</v>
      </c>
      <c r="V5" s="10">
        <v>59.679115606607731</v>
      </c>
    </row>
    <row r="6" spans="1:22" x14ac:dyDescent="0.25">
      <c r="A6" s="8">
        <v>5</v>
      </c>
      <c r="B6" s="8" t="s">
        <v>102</v>
      </c>
      <c r="C6" s="8" t="s">
        <v>44</v>
      </c>
      <c r="D6" s="8" t="s">
        <v>28</v>
      </c>
      <c r="E6" s="8" t="s">
        <v>29</v>
      </c>
      <c r="F6" s="8" t="s">
        <v>96</v>
      </c>
      <c r="G6" s="8" t="s">
        <v>97</v>
      </c>
      <c r="H6" s="8" t="s">
        <v>103</v>
      </c>
      <c r="I6" s="8" t="s">
        <v>309</v>
      </c>
      <c r="J6" s="11">
        <v>107.5333333333333</v>
      </c>
      <c r="K6" s="11">
        <v>120</v>
      </c>
      <c r="L6" s="8" t="s">
        <v>309</v>
      </c>
      <c r="M6" s="11">
        <v>141.62200313375999</v>
      </c>
      <c r="N6" s="11">
        <v>141.6711046862772</v>
      </c>
      <c r="O6" s="11">
        <v>209.59191666666669</v>
      </c>
      <c r="P6" s="11">
        <v>221.15</v>
      </c>
      <c r="Q6" s="8" t="s">
        <v>104</v>
      </c>
      <c r="R6" s="8" t="s">
        <v>105</v>
      </c>
      <c r="S6" s="8" t="s">
        <v>106</v>
      </c>
      <c r="T6" s="8" t="s">
        <v>107</v>
      </c>
      <c r="U6" s="11">
        <v>47.253841991330667</v>
      </c>
      <c r="V6" s="11">
        <v>44.821614085784937</v>
      </c>
    </row>
    <row r="7" spans="1:22" x14ac:dyDescent="0.25">
      <c r="A7" s="6">
        <v>7</v>
      </c>
      <c r="B7" s="6" t="s">
        <v>111</v>
      </c>
      <c r="C7" s="6" t="s">
        <v>44</v>
      </c>
      <c r="D7" s="6" t="s">
        <v>28</v>
      </c>
      <c r="E7" s="6" t="s">
        <v>29</v>
      </c>
      <c r="F7" s="6" t="s">
        <v>96</v>
      </c>
      <c r="G7" s="6" t="s">
        <v>97</v>
      </c>
      <c r="H7" s="6" t="s">
        <v>112</v>
      </c>
      <c r="I7" s="6" t="s">
        <v>309</v>
      </c>
      <c r="J7" s="10">
        <v>90.5</v>
      </c>
      <c r="K7" s="10">
        <v>120</v>
      </c>
      <c r="L7" s="6" t="s">
        <v>309</v>
      </c>
      <c r="M7" s="10">
        <v>146.1103622297162</v>
      </c>
      <c r="N7" s="10">
        <v>146.19417039093929</v>
      </c>
      <c r="O7" s="10">
        <v>232.89156666666659</v>
      </c>
      <c r="P7" s="10">
        <v>269.21666666666658</v>
      </c>
      <c r="Q7" s="6" t="s">
        <v>113</v>
      </c>
      <c r="R7" s="6" t="s">
        <v>114</v>
      </c>
      <c r="S7" s="6" t="s">
        <v>115</v>
      </c>
      <c r="T7" s="6" t="s">
        <v>116</v>
      </c>
      <c r="U7" s="10">
        <v>44.761538696895471</v>
      </c>
      <c r="V7" s="10">
        <v>44.849027767870119</v>
      </c>
    </row>
    <row r="8" spans="1:22" x14ac:dyDescent="0.25">
      <c r="A8" s="8">
        <v>16</v>
      </c>
      <c r="B8" s="8" t="s">
        <v>153</v>
      </c>
      <c r="C8" s="8" t="s">
        <v>44</v>
      </c>
      <c r="D8" s="8" t="s">
        <v>28</v>
      </c>
      <c r="E8" s="8" t="s">
        <v>29</v>
      </c>
      <c r="F8" s="8" t="s">
        <v>130</v>
      </c>
      <c r="G8" s="8" t="s">
        <v>131</v>
      </c>
      <c r="H8" s="8" t="s">
        <v>154</v>
      </c>
      <c r="I8" s="8" t="s">
        <v>309</v>
      </c>
      <c r="J8" s="11">
        <v>119.8666666666667</v>
      </c>
      <c r="K8" s="11">
        <v>120</v>
      </c>
      <c r="L8" s="8" t="s">
        <v>309</v>
      </c>
      <c r="M8" s="11">
        <v>152.2392917821083</v>
      </c>
      <c r="N8" s="11">
        <v>153.94759024770309</v>
      </c>
      <c r="O8" s="11">
        <v>276.10219999999998</v>
      </c>
      <c r="P8" s="11">
        <v>291.35971666666671</v>
      </c>
      <c r="Q8" s="8" t="s">
        <v>132</v>
      </c>
      <c r="R8" s="8" t="s">
        <v>155</v>
      </c>
      <c r="S8" s="8" t="s">
        <v>156</v>
      </c>
      <c r="T8" s="8" t="s">
        <v>157</v>
      </c>
      <c r="U8" s="11">
        <v>40.355745492660311</v>
      </c>
      <c r="V8" s="11">
        <v>36.021923037796739</v>
      </c>
    </row>
    <row r="9" spans="1:22" x14ac:dyDescent="0.25">
      <c r="A9" s="6">
        <v>24</v>
      </c>
      <c r="B9" s="6" t="s">
        <v>178</v>
      </c>
      <c r="C9" s="6" t="s">
        <v>44</v>
      </c>
      <c r="D9" s="6" t="s">
        <v>28</v>
      </c>
      <c r="E9" s="6" t="s">
        <v>29</v>
      </c>
      <c r="F9" s="6" t="s">
        <v>130</v>
      </c>
      <c r="G9" s="6" t="s">
        <v>137</v>
      </c>
      <c r="H9" s="6" t="s">
        <v>145</v>
      </c>
      <c r="I9" s="6" t="s">
        <v>309</v>
      </c>
      <c r="J9" s="10">
        <v>117.51666666666669</v>
      </c>
      <c r="K9" s="10">
        <v>120</v>
      </c>
      <c r="L9" s="6" t="s">
        <v>309</v>
      </c>
      <c r="M9" s="10">
        <v>125.021511754306</v>
      </c>
      <c r="N9" s="10">
        <v>123.8871365945718</v>
      </c>
      <c r="O9" s="10">
        <v>207.13586666666669</v>
      </c>
      <c r="P9" s="10">
        <v>194.5326</v>
      </c>
      <c r="Q9" s="6" t="s">
        <v>179</v>
      </c>
      <c r="R9" s="6" t="s">
        <v>143</v>
      </c>
      <c r="S9" s="6" t="s">
        <v>148</v>
      </c>
      <c r="T9" s="6" t="s">
        <v>180</v>
      </c>
      <c r="U9" s="10">
        <v>41.521588856960847</v>
      </c>
      <c r="V9" s="10">
        <v>42.835212207537772</v>
      </c>
    </row>
    <row r="10" spans="1:22" x14ac:dyDescent="0.25">
      <c r="A10" s="8">
        <v>27</v>
      </c>
      <c r="B10" s="8" t="s">
        <v>186</v>
      </c>
      <c r="C10" s="8" t="s">
        <v>44</v>
      </c>
      <c r="D10" s="8" t="s">
        <v>28</v>
      </c>
      <c r="E10" s="8" t="s">
        <v>29</v>
      </c>
      <c r="F10" s="8" t="s">
        <v>130</v>
      </c>
      <c r="G10" s="8" t="s">
        <v>154</v>
      </c>
      <c r="H10" s="8" t="s">
        <v>137</v>
      </c>
      <c r="I10" s="8" t="s">
        <v>309</v>
      </c>
      <c r="J10" s="11">
        <v>109.1666666666667</v>
      </c>
      <c r="K10" s="11">
        <v>120</v>
      </c>
      <c r="L10" s="8" t="s">
        <v>309</v>
      </c>
      <c r="M10" s="11">
        <v>138.2944646000696</v>
      </c>
      <c r="N10" s="11">
        <v>137.8693466671948</v>
      </c>
      <c r="O10" s="11">
        <v>219.90880000000001</v>
      </c>
      <c r="P10" s="11">
        <v>231.8833333333333</v>
      </c>
      <c r="Q10" s="8" t="s">
        <v>159</v>
      </c>
      <c r="R10" s="8" t="s">
        <v>187</v>
      </c>
      <c r="S10" s="8" t="s">
        <v>139</v>
      </c>
      <c r="T10" s="8" t="s">
        <v>140</v>
      </c>
      <c r="U10" s="11">
        <v>46.483728760311841</v>
      </c>
      <c r="V10" s="11">
        <v>40.286623077903108</v>
      </c>
    </row>
    <row r="11" spans="1:22" x14ac:dyDescent="0.25">
      <c r="A11" s="6">
        <v>32</v>
      </c>
      <c r="B11" s="6" t="s">
        <v>201</v>
      </c>
      <c r="C11" s="6" t="s">
        <v>44</v>
      </c>
      <c r="D11" s="6" t="s">
        <v>28</v>
      </c>
      <c r="E11" s="6" t="s">
        <v>35</v>
      </c>
      <c r="F11" s="6" t="s">
        <v>76</v>
      </c>
      <c r="G11" s="6" t="s">
        <v>145</v>
      </c>
      <c r="H11" s="6" t="s">
        <v>78</v>
      </c>
      <c r="I11" s="6" t="s">
        <v>309</v>
      </c>
      <c r="J11" s="10">
        <v>62.983333333333348</v>
      </c>
      <c r="K11" s="10">
        <v>120</v>
      </c>
      <c r="L11" s="6" t="s">
        <v>309</v>
      </c>
      <c r="M11" s="10">
        <v>324.82784685582573</v>
      </c>
      <c r="N11" s="10">
        <v>330.65385365728412</v>
      </c>
      <c r="O11" s="10">
        <v>356.12246666666658</v>
      </c>
      <c r="P11" s="10">
        <v>333.43333333333328</v>
      </c>
      <c r="Q11" s="6" t="s">
        <v>202</v>
      </c>
      <c r="R11" s="6" t="s">
        <v>203</v>
      </c>
      <c r="S11" s="6" t="s">
        <v>81</v>
      </c>
      <c r="T11" s="6" t="s">
        <v>204</v>
      </c>
      <c r="U11" s="10">
        <v>65.688581946123335</v>
      </c>
      <c r="V11" s="10">
        <v>62.887753110635487</v>
      </c>
    </row>
    <row r="12" spans="1:22" x14ac:dyDescent="0.25">
      <c r="A12" s="8">
        <v>33</v>
      </c>
      <c r="B12" s="8" t="s">
        <v>205</v>
      </c>
      <c r="C12" s="8" t="s">
        <v>44</v>
      </c>
      <c r="D12" s="8" t="s">
        <v>28</v>
      </c>
      <c r="E12" s="8" t="s">
        <v>35</v>
      </c>
      <c r="F12" s="8" t="s">
        <v>76</v>
      </c>
      <c r="G12" s="8" t="s">
        <v>145</v>
      </c>
      <c r="H12" s="8" t="s">
        <v>84</v>
      </c>
      <c r="I12" s="8" t="s">
        <v>309</v>
      </c>
      <c r="J12" s="11">
        <v>45.133333333333212</v>
      </c>
      <c r="K12" s="11">
        <v>120</v>
      </c>
      <c r="L12" s="8" t="s">
        <v>309</v>
      </c>
      <c r="M12" s="11">
        <v>320.29500345641202</v>
      </c>
      <c r="N12" s="11">
        <v>320.93023294332693</v>
      </c>
      <c r="O12" s="11">
        <v>350.05456666666669</v>
      </c>
      <c r="P12" s="11">
        <v>317.31619999999998</v>
      </c>
      <c r="Q12" s="8" t="s">
        <v>206</v>
      </c>
      <c r="R12" s="8" t="s">
        <v>207</v>
      </c>
      <c r="S12" s="8" t="s">
        <v>208</v>
      </c>
      <c r="T12" s="8" t="s">
        <v>209</v>
      </c>
      <c r="U12" s="11">
        <v>66.126659936677697</v>
      </c>
      <c r="V12" s="11">
        <v>65.883968417687953</v>
      </c>
    </row>
    <row r="13" spans="1:22" x14ac:dyDescent="0.25">
      <c r="A13" s="6">
        <v>35</v>
      </c>
      <c r="B13" s="6" t="s">
        <v>212</v>
      </c>
      <c r="C13" s="6" t="s">
        <v>44</v>
      </c>
      <c r="D13" s="6" t="s">
        <v>28</v>
      </c>
      <c r="E13" s="6" t="s">
        <v>29</v>
      </c>
      <c r="F13" s="6" t="s">
        <v>130</v>
      </c>
      <c r="G13" s="6" t="s">
        <v>154</v>
      </c>
      <c r="H13" s="6" t="s">
        <v>145</v>
      </c>
      <c r="I13" s="6" t="s">
        <v>309</v>
      </c>
      <c r="J13" s="10">
        <v>97.683333333333394</v>
      </c>
      <c r="K13" s="10">
        <v>120</v>
      </c>
      <c r="L13" s="6" t="s">
        <v>309</v>
      </c>
      <c r="M13" s="10">
        <v>125.7416693023907</v>
      </c>
      <c r="N13" s="10">
        <v>123.9823800042885</v>
      </c>
      <c r="O13" s="10">
        <v>194.9381166666667</v>
      </c>
      <c r="P13" s="10">
        <v>194.95840000000001</v>
      </c>
      <c r="Q13" s="6" t="s">
        <v>213</v>
      </c>
      <c r="R13" s="6" t="s">
        <v>160</v>
      </c>
      <c r="S13" s="6" t="s">
        <v>148</v>
      </c>
      <c r="T13" s="6" t="s">
        <v>149</v>
      </c>
      <c r="U13" s="10">
        <v>45.475102570591687</v>
      </c>
      <c r="V13" s="10">
        <v>42.768923453873597</v>
      </c>
    </row>
    <row r="14" spans="1:22" x14ac:dyDescent="0.25">
      <c r="A14" s="8">
        <v>36</v>
      </c>
      <c r="B14" s="8" t="s">
        <v>214</v>
      </c>
      <c r="C14" s="8" t="s">
        <v>44</v>
      </c>
      <c r="D14" s="8" t="s">
        <v>28</v>
      </c>
      <c r="E14" s="8" t="s">
        <v>35</v>
      </c>
      <c r="F14" s="8" t="s">
        <v>88</v>
      </c>
      <c r="G14" s="8" t="s">
        <v>84</v>
      </c>
      <c r="H14" s="8" t="s">
        <v>90</v>
      </c>
      <c r="I14" s="8" t="s">
        <v>309</v>
      </c>
      <c r="J14" s="11">
        <v>46.733333333333348</v>
      </c>
      <c r="K14" s="11">
        <v>120</v>
      </c>
      <c r="L14" s="8" t="s">
        <v>309</v>
      </c>
      <c r="M14" s="11">
        <v>326.45811266430007</v>
      </c>
      <c r="N14" s="11">
        <v>326.59061742825281</v>
      </c>
      <c r="O14" s="11">
        <v>477.62115</v>
      </c>
      <c r="P14" s="11">
        <v>368.08333333333331</v>
      </c>
      <c r="Q14" s="8" t="s">
        <v>215</v>
      </c>
      <c r="R14" s="8" t="s">
        <v>216</v>
      </c>
      <c r="S14" s="8" t="s">
        <v>208</v>
      </c>
      <c r="T14" s="8" t="s">
        <v>217</v>
      </c>
      <c r="U14" s="11">
        <v>53.205170227322412</v>
      </c>
      <c r="V14" s="11">
        <v>59.004059141794428</v>
      </c>
    </row>
    <row r="15" spans="1:22" x14ac:dyDescent="0.25">
      <c r="A15" s="6">
        <v>37</v>
      </c>
      <c r="B15" s="6" t="s">
        <v>218</v>
      </c>
      <c r="C15" s="6" t="s">
        <v>42</v>
      </c>
      <c r="D15" s="6" t="s">
        <v>28</v>
      </c>
      <c r="E15" s="6" t="s">
        <v>35</v>
      </c>
      <c r="F15" s="6" t="s">
        <v>76</v>
      </c>
      <c r="G15" s="6" t="s">
        <v>219</v>
      </c>
      <c r="H15" s="6" t="s">
        <v>84</v>
      </c>
      <c r="I15" s="6" t="s">
        <v>309</v>
      </c>
      <c r="J15" s="10">
        <v>62.533333333333303</v>
      </c>
      <c r="K15" s="10">
        <v>120</v>
      </c>
      <c r="L15" s="6" t="s">
        <v>309</v>
      </c>
      <c r="M15" s="10">
        <v>249.12684837179509</v>
      </c>
      <c r="N15" s="10">
        <v>249.90720121217629</v>
      </c>
      <c r="O15" s="10">
        <v>261.38704999999999</v>
      </c>
      <c r="P15" s="10">
        <v>244.9409666666667</v>
      </c>
      <c r="Q15" s="6" t="s">
        <v>220</v>
      </c>
      <c r="R15" s="6" t="s">
        <v>221</v>
      </c>
      <c r="S15" s="6" t="s">
        <v>85</v>
      </c>
      <c r="T15" s="6" t="s">
        <v>222</v>
      </c>
      <c r="U15" s="10">
        <v>63.843688448222949</v>
      </c>
      <c r="V15" s="10">
        <v>67.45522324597772</v>
      </c>
    </row>
    <row r="16" spans="1:22" x14ac:dyDescent="0.25">
      <c r="A16" s="8">
        <v>40</v>
      </c>
      <c r="B16" s="8" t="s">
        <v>234</v>
      </c>
      <c r="C16" s="8" t="s">
        <v>44</v>
      </c>
      <c r="D16" s="8" t="s">
        <v>28</v>
      </c>
      <c r="E16" s="8" t="s">
        <v>31</v>
      </c>
      <c r="F16" s="8" t="s">
        <v>31</v>
      </c>
      <c r="G16" s="8" t="s">
        <v>224</v>
      </c>
      <c r="H16" s="8" t="s">
        <v>235</v>
      </c>
      <c r="I16" s="8" t="s">
        <v>309</v>
      </c>
      <c r="J16" s="11">
        <v>12.93333333333339</v>
      </c>
      <c r="K16" s="11">
        <v>120</v>
      </c>
      <c r="L16" s="8" t="s">
        <v>309</v>
      </c>
      <c r="M16" s="11">
        <v>326.42355177683419</v>
      </c>
      <c r="N16" s="11">
        <v>325.95210910875733</v>
      </c>
      <c r="O16" s="11">
        <v>395</v>
      </c>
      <c r="P16" s="11">
        <v>319.50481666666673</v>
      </c>
      <c r="Q16" s="8" t="s">
        <v>225</v>
      </c>
      <c r="R16" s="8" t="s">
        <v>226</v>
      </c>
      <c r="S16" s="8" t="s">
        <v>236</v>
      </c>
      <c r="T16" s="8" t="s">
        <v>237</v>
      </c>
      <c r="U16" s="11">
        <v>61.329177126178159</v>
      </c>
      <c r="V16" s="11">
        <v>62.637050944032119</v>
      </c>
    </row>
    <row r="17" spans="1:22" x14ac:dyDescent="0.25">
      <c r="A17" s="6">
        <v>41</v>
      </c>
      <c r="B17" s="6" t="s">
        <v>238</v>
      </c>
      <c r="C17" s="6" t="s">
        <v>44</v>
      </c>
      <c r="D17" s="6" t="s">
        <v>28</v>
      </c>
      <c r="E17" s="6" t="s">
        <v>31</v>
      </c>
      <c r="F17" s="6" t="s">
        <v>31</v>
      </c>
      <c r="G17" s="6" t="s">
        <v>235</v>
      </c>
      <c r="H17" s="6" t="s">
        <v>224</v>
      </c>
      <c r="I17" s="6" t="s">
        <v>309</v>
      </c>
      <c r="J17" s="10">
        <v>14.06666666666683</v>
      </c>
      <c r="K17" s="10">
        <v>120</v>
      </c>
      <c r="L17" s="6" t="s">
        <v>309</v>
      </c>
      <c r="M17" s="10">
        <v>325.44929939593982</v>
      </c>
      <c r="N17" s="10">
        <v>325.19747839743411</v>
      </c>
      <c r="O17" s="10">
        <v>353.84784999999999</v>
      </c>
      <c r="P17" s="10">
        <v>372.55040000000002</v>
      </c>
      <c r="Q17" s="6" t="s">
        <v>239</v>
      </c>
      <c r="R17" s="6" t="s">
        <v>240</v>
      </c>
      <c r="S17" s="6" t="s">
        <v>227</v>
      </c>
      <c r="T17" s="6" t="s">
        <v>241</v>
      </c>
      <c r="U17" s="10">
        <v>67.12149214202077</v>
      </c>
      <c r="V17" s="10">
        <v>59.843107131271857</v>
      </c>
    </row>
    <row r="18" spans="1:22" x14ac:dyDescent="0.25">
      <c r="A18" s="8">
        <v>45</v>
      </c>
      <c r="B18" s="8" t="s">
        <v>259</v>
      </c>
      <c r="C18" s="8" t="s">
        <v>44</v>
      </c>
      <c r="D18" s="8" t="s">
        <v>28</v>
      </c>
      <c r="E18" s="8" t="s">
        <v>33</v>
      </c>
      <c r="F18" s="8" t="s">
        <v>33</v>
      </c>
      <c r="G18" s="8" t="s">
        <v>243</v>
      </c>
      <c r="H18" s="8" t="s">
        <v>260</v>
      </c>
      <c r="I18" s="8" t="s">
        <v>309</v>
      </c>
      <c r="J18" s="11">
        <v>40.483333333333348</v>
      </c>
      <c r="K18" s="11">
        <v>120</v>
      </c>
      <c r="L18" s="8" t="s">
        <v>309</v>
      </c>
      <c r="M18" s="11">
        <v>322.27359408346013</v>
      </c>
      <c r="N18" s="11">
        <v>322.64698261892221</v>
      </c>
      <c r="O18" s="11">
        <v>446.45</v>
      </c>
      <c r="P18" s="11">
        <v>349.42598333333342</v>
      </c>
      <c r="Q18" s="8" t="s">
        <v>250</v>
      </c>
      <c r="R18" s="8" t="s">
        <v>251</v>
      </c>
      <c r="S18" s="8" t="s">
        <v>261</v>
      </c>
      <c r="T18" s="8" t="s">
        <v>262</v>
      </c>
      <c r="U18" s="11">
        <v>64.459443162404568</v>
      </c>
      <c r="V18" s="11">
        <v>59.875837357006112</v>
      </c>
    </row>
    <row r="19" spans="1:22" x14ac:dyDescent="0.25">
      <c r="A19" s="6">
        <v>46</v>
      </c>
      <c r="B19" s="6" t="s">
        <v>263</v>
      </c>
      <c r="C19" s="6" t="s">
        <v>44</v>
      </c>
      <c r="D19" s="6" t="s">
        <v>28</v>
      </c>
      <c r="E19" s="6" t="s">
        <v>33</v>
      </c>
      <c r="F19" s="6" t="s">
        <v>33</v>
      </c>
      <c r="G19" s="6" t="s">
        <v>260</v>
      </c>
      <c r="H19" s="6" t="s">
        <v>243</v>
      </c>
      <c r="I19" s="6" t="s">
        <v>309</v>
      </c>
      <c r="J19" s="10">
        <v>50.233333333333348</v>
      </c>
      <c r="K19" s="10">
        <v>120</v>
      </c>
      <c r="L19" s="6" t="s">
        <v>309</v>
      </c>
      <c r="M19" s="10">
        <v>324.93502838087829</v>
      </c>
      <c r="N19" s="10">
        <v>325.72634804024972</v>
      </c>
      <c r="O19" s="10">
        <v>394.6350333333333</v>
      </c>
      <c r="P19" s="10">
        <v>329.75</v>
      </c>
      <c r="Q19" s="6" t="s">
        <v>264</v>
      </c>
      <c r="R19" s="6" t="s">
        <v>265</v>
      </c>
      <c r="S19" s="6" t="s">
        <v>246</v>
      </c>
      <c r="T19" s="6" t="s">
        <v>258</v>
      </c>
      <c r="U19" s="10">
        <v>64.174151856789692</v>
      </c>
      <c r="V19" s="10">
        <v>63.702556250659107</v>
      </c>
    </row>
    <row r="22" spans="1:22" ht="27.95" customHeight="1" x14ac:dyDescent="0.25">
      <c r="A22" s="55" t="s">
        <v>320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22" ht="3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5" spans="1:22" ht="30" x14ac:dyDescent="0.25">
      <c r="A25" s="9" t="s">
        <v>59</v>
      </c>
      <c r="B25" s="9" t="s">
        <v>60</v>
      </c>
      <c r="C25" s="9" t="s">
        <v>292</v>
      </c>
      <c r="D25" s="9" t="s">
        <v>24</v>
      </c>
      <c r="E25" s="9" t="s">
        <v>61</v>
      </c>
      <c r="F25" s="9" t="s">
        <v>62</v>
      </c>
      <c r="G25" s="9" t="s">
        <v>293</v>
      </c>
      <c r="H25" s="9" t="s">
        <v>294</v>
      </c>
      <c r="I25" s="9" t="s">
        <v>295</v>
      </c>
      <c r="J25" s="9" t="s">
        <v>296</v>
      </c>
      <c r="K25" s="9" t="s">
        <v>297</v>
      </c>
      <c r="L25" s="9" t="s">
        <v>298</v>
      </c>
      <c r="M25" s="9" t="s">
        <v>299</v>
      </c>
    </row>
    <row r="26" spans="1:22" x14ac:dyDescent="0.25">
      <c r="A26" s="6">
        <v>3</v>
      </c>
      <c r="B26" s="6" t="s">
        <v>87</v>
      </c>
      <c r="C26" s="6" t="s">
        <v>300</v>
      </c>
      <c r="D26" s="6" t="s">
        <v>28</v>
      </c>
      <c r="E26" s="6" t="s">
        <v>35</v>
      </c>
      <c r="F26" s="6" t="s">
        <v>88</v>
      </c>
      <c r="G26" s="10">
        <v>38.333333333333343</v>
      </c>
      <c r="H26" s="10">
        <v>10.56666666666667</v>
      </c>
      <c r="I26" s="10">
        <v>0</v>
      </c>
      <c r="J26" s="10">
        <v>0.66666666666666663</v>
      </c>
      <c r="K26" s="10">
        <v>49.31666666666667</v>
      </c>
      <c r="L26" s="10">
        <v>44.583333333333343</v>
      </c>
      <c r="M26" s="10">
        <v>202.15</v>
      </c>
    </row>
    <row r="27" spans="1:22" x14ac:dyDescent="0.25">
      <c r="A27" s="8">
        <v>3</v>
      </c>
      <c r="B27" s="8" t="s">
        <v>87</v>
      </c>
      <c r="C27" s="8" t="s">
        <v>301</v>
      </c>
      <c r="D27" s="8" t="s">
        <v>28</v>
      </c>
      <c r="E27" s="8" t="s">
        <v>35</v>
      </c>
      <c r="F27" s="8" t="s">
        <v>88</v>
      </c>
      <c r="G27" s="11">
        <v>0</v>
      </c>
      <c r="H27" s="11">
        <v>35.983333333333327</v>
      </c>
      <c r="I27" s="11">
        <v>0.35</v>
      </c>
      <c r="J27" s="11">
        <v>4.083333333333333</v>
      </c>
      <c r="K27" s="11">
        <v>62.087049999999998</v>
      </c>
      <c r="L27" s="11">
        <v>50.533333333333331</v>
      </c>
      <c r="M27" s="11">
        <v>205.36038333333329</v>
      </c>
    </row>
    <row r="28" spans="1:22" x14ac:dyDescent="0.25">
      <c r="A28" s="6">
        <v>5</v>
      </c>
      <c r="B28" s="6" t="s">
        <v>102</v>
      </c>
      <c r="C28" s="6" t="s">
        <v>300</v>
      </c>
      <c r="D28" s="6" t="s">
        <v>28</v>
      </c>
      <c r="E28" s="6" t="s">
        <v>29</v>
      </c>
      <c r="F28" s="6" t="s">
        <v>96</v>
      </c>
      <c r="G28" s="10">
        <v>0</v>
      </c>
      <c r="H28" s="10">
        <v>25.883333333333329</v>
      </c>
      <c r="I28" s="10">
        <v>4.9333333333333336</v>
      </c>
      <c r="J28" s="10">
        <v>5.9333333333333336</v>
      </c>
      <c r="K28" s="10">
        <v>52.333333333333343</v>
      </c>
      <c r="L28" s="10">
        <v>37.574966666666668</v>
      </c>
      <c r="M28" s="10">
        <v>82.933616666666666</v>
      </c>
    </row>
    <row r="29" spans="1:22" x14ac:dyDescent="0.25">
      <c r="A29" s="8">
        <v>5</v>
      </c>
      <c r="B29" s="8" t="s">
        <v>102</v>
      </c>
      <c r="C29" s="8" t="s">
        <v>301</v>
      </c>
      <c r="D29" s="8" t="s">
        <v>28</v>
      </c>
      <c r="E29" s="8" t="s">
        <v>29</v>
      </c>
      <c r="F29" s="8" t="s">
        <v>96</v>
      </c>
      <c r="G29" s="11">
        <v>0</v>
      </c>
      <c r="H29" s="11">
        <v>31.8</v>
      </c>
      <c r="I29" s="11">
        <v>0</v>
      </c>
      <c r="J29" s="11">
        <v>1.5</v>
      </c>
      <c r="K29" s="11">
        <v>30.466666666666669</v>
      </c>
      <c r="L29" s="11">
        <v>23</v>
      </c>
      <c r="M29" s="11">
        <v>134.3833333333333</v>
      </c>
    </row>
    <row r="30" spans="1:22" x14ac:dyDescent="0.25">
      <c r="A30" s="6">
        <v>7</v>
      </c>
      <c r="B30" s="6" t="s">
        <v>111</v>
      </c>
      <c r="C30" s="6" t="s">
        <v>300</v>
      </c>
      <c r="D30" s="6" t="s">
        <v>28</v>
      </c>
      <c r="E30" s="6" t="s">
        <v>29</v>
      </c>
      <c r="F30" s="6" t="s">
        <v>96</v>
      </c>
      <c r="G30" s="10">
        <v>0</v>
      </c>
      <c r="H30" s="10">
        <v>29.40441666666667</v>
      </c>
      <c r="I30" s="10">
        <v>9.2371500000000015</v>
      </c>
      <c r="J30" s="10">
        <v>8.0166666666666675</v>
      </c>
      <c r="K30" s="10">
        <v>55.05</v>
      </c>
      <c r="L30" s="10">
        <v>38.85</v>
      </c>
      <c r="M30" s="10">
        <v>92.333333333333329</v>
      </c>
    </row>
    <row r="31" spans="1:22" x14ac:dyDescent="0.25">
      <c r="A31" s="8">
        <v>7</v>
      </c>
      <c r="B31" s="8" t="s">
        <v>111</v>
      </c>
      <c r="C31" s="8" t="s">
        <v>301</v>
      </c>
      <c r="D31" s="8" t="s">
        <v>28</v>
      </c>
      <c r="E31" s="8" t="s">
        <v>29</v>
      </c>
      <c r="F31" s="8" t="s">
        <v>96</v>
      </c>
      <c r="G31" s="11">
        <v>0</v>
      </c>
      <c r="H31" s="11">
        <v>71.083333333333329</v>
      </c>
      <c r="I31" s="11">
        <v>4.05</v>
      </c>
      <c r="J31" s="11">
        <v>11.6</v>
      </c>
      <c r="K31" s="11">
        <v>38.68333333333333</v>
      </c>
      <c r="L31" s="11">
        <v>26.81666666666667</v>
      </c>
      <c r="M31" s="11">
        <v>116.98333333333331</v>
      </c>
    </row>
    <row r="32" spans="1:22" x14ac:dyDescent="0.25">
      <c r="A32" s="6">
        <v>16</v>
      </c>
      <c r="B32" s="6" t="s">
        <v>153</v>
      </c>
      <c r="C32" s="6" t="s">
        <v>300</v>
      </c>
      <c r="D32" s="6" t="s">
        <v>28</v>
      </c>
      <c r="E32" s="6" t="s">
        <v>29</v>
      </c>
      <c r="F32" s="6" t="s">
        <v>130</v>
      </c>
      <c r="G32" s="10">
        <v>0</v>
      </c>
      <c r="H32" s="10">
        <v>43.485533333333343</v>
      </c>
      <c r="I32" s="10">
        <v>9.5500000000000007</v>
      </c>
      <c r="J32" s="10">
        <v>6.7833333333333332</v>
      </c>
      <c r="K32" s="10">
        <v>55.4</v>
      </c>
      <c r="L32" s="10">
        <v>40.216666666666669</v>
      </c>
      <c r="M32" s="10">
        <v>120.6666666666667</v>
      </c>
    </row>
    <row r="33" spans="1:13" x14ac:dyDescent="0.25">
      <c r="A33" s="8">
        <v>16</v>
      </c>
      <c r="B33" s="8" t="s">
        <v>153</v>
      </c>
      <c r="C33" s="8" t="s">
        <v>301</v>
      </c>
      <c r="D33" s="8" t="s">
        <v>28</v>
      </c>
      <c r="E33" s="8" t="s">
        <v>29</v>
      </c>
      <c r="F33" s="8" t="s">
        <v>130</v>
      </c>
      <c r="G33" s="11">
        <v>0</v>
      </c>
      <c r="H33" s="11">
        <v>26.333333333333329</v>
      </c>
      <c r="I33" s="11">
        <v>10.016666666666669</v>
      </c>
      <c r="J33" s="11">
        <v>14.483333333333331</v>
      </c>
      <c r="K33" s="11">
        <v>52.6</v>
      </c>
      <c r="L33" s="11">
        <v>41.9</v>
      </c>
      <c r="M33" s="11">
        <v>146.02638333333331</v>
      </c>
    </row>
    <row r="34" spans="1:13" x14ac:dyDescent="0.25">
      <c r="A34" s="6">
        <v>24</v>
      </c>
      <c r="B34" s="6" t="s">
        <v>178</v>
      </c>
      <c r="C34" s="6" t="s">
        <v>300</v>
      </c>
      <c r="D34" s="6" t="s">
        <v>28</v>
      </c>
      <c r="E34" s="6" t="s">
        <v>29</v>
      </c>
      <c r="F34" s="6" t="s">
        <v>130</v>
      </c>
      <c r="G34" s="10">
        <v>0</v>
      </c>
      <c r="H34" s="10">
        <v>26.583333333333329</v>
      </c>
      <c r="I34" s="10">
        <v>1.261883333333333</v>
      </c>
      <c r="J34" s="10">
        <v>5.35</v>
      </c>
      <c r="K34" s="10">
        <v>50.083333333333343</v>
      </c>
      <c r="L34" s="10">
        <v>38.023983333333327</v>
      </c>
      <c r="M34" s="10">
        <v>85.833333333333329</v>
      </c>
    </row>
    <row r="35" spans="1:13" x14ac:dyDescent="0.25">
      <c r="A35" s="8">
        <v>24</v>
      </c>
      <c r="B35" s="8" t="s">
        <v>178</v>
      </c>
      <c r="C35" s="8" t="s">
        <v>301</v>
      </c>
      <c r="D35" s="8" t="s">
        <v>28</v>
      </c>
      <c r="E35" s="8" t="s">
        <v>29</v>
      </c>
      <c r="F35" s="8" t="s">
        <v>130</v>
      </c>
      <c r="G35" s="11">
        <v>0</v>
      </c>
      <c r="H35" s="11">
        <v>21.383333333333329</v>
      </c>
      <c r="I35" s="11">
        <v>1</v>
      </c>
      <c r="J35" s="11">
        <v>0</v>
      </c>
      <c r="K35" s="11">
        <v>39.18333333333333</v>
      </c>
      <c r="L35" s="11">
        <v>30.466666666666669</v>
      </c>
      <c r="M35" s="11">
        <v>102.4992666666667</v>
      </c>
    </row>
    <row r="36" spans="1:13" x14ac:dyDescent="0.25">
      <c r="A36" s="6">
        <v>27</v>
      </c>
      <c r="B36" s="6" t="s">
        <v>186</v>
      </c>
      <c r="C36" s="6" t="s">
        <v>300</v>
      </c>
      <c r="D36" s="6" t="s">
        <v>28</v>
      </c>
      <c r="E36" s="6" t="s">
        <v>29</v>
      </c>
      <c r="F36" s="6" t="s">
        <v>130</v>
      </c>
      <c r="G36" s="10">
        <v>0</v>
      </c>
      <c r="H36" s="10">
        <v>31.033333333333331</v>
      </c>
      <c r="I36" s="10">
        <v>10.96666666666667</v>
      </c>
      <c r="J36" s="10">
        <v>2.9333333333333331</v>
      </c>
      <c r="K36" s="10">
        <v>62.68333333333333</v>
      </c>
      <c r="L36" s="10">
        <v>46.940983333333328</v>
      </c>
      <c r="M36" s="10">
        <v>65.351150000000004</v>
      </c>
    </row>
    <row r="37" spans="1:13" x14ac:dyDescent="0.25">
      <c r="A37" s="8">
        <v>27</v>
      </c>
      <c r="B37" s="8" t="s">
        <v>186</v>
      </c>
      <c r="C37" s="8" t="s">
        <v>301</v>
      </c>
      <c r="D37" s="8" t="s">
        <v>28</v>
      </c>
      <c r="E37" s="8" t="s">
        <v>29</v>
      </c>
      <c r="F37" s="8" t="s">
        <v>130</v>
      </c>
      <c r="G37" s="11">
        <v>0</v>
      </c>
      <c r="H37" s="11">
        <v>23.716666666666669</v>
      </c>
      <c r="I37" s="11">
        <v>4.4333333333333336</v>
      </c>
      <c r="J37" s="11">
        <v>9.5500000000000007</v>
      </c>
      <c r="K37" s="11">
        <v>50.65</v>
      </c>
      <c r="L37" s="11">
        <v>34.233333333333327</v>
      </c>
      <c r="M37" s="11">
        <v>109.3</v>
      </c>
    </row>
    <row r="38" spans="1:13" x14ac:dyDescent="0.25">
      <c r="A38" s="6">
        <v>32</v>
      </c>
      <c r="B38" s="6" t="s">
        <v>201</v>
      </c>
      <c r="C38" s="6" t="s">
        <v>300</v>
      </c>
      <c r="D38" s="6" t="s">
        <v>28</v>
      </c>
      <c r="E38" s="6" t="s">
        <v>35</v>
      </c>
      <c r="F38" s="6" t="s">
        <v>76</v>
      </c>
      <c r="G38" s="10">
        <v>23.4</v>
      </c>
      <c r="H38" s="10">
        <v>37.616666666666667</v>
      </c>
      <c r="I38" s="10">
        <v>0</v>
      </c>
      <c r="J38" s="10">
        <v>0.58333333333333337</v>
      </c>
      <c r="K38" s="10">
        <v>58.389133333333326</v>
      </c>
      <c r="L38" s="10">
        <v>47.783333333333331</v>
      </c>
      <c r="M38" s="10">
        <v>188.35</v>
      </c>
    </row>
    <row r="39" spans="1:13" x14ac:dyDescent="0.25">
      <c r="A39" s="8">
        <v>32</v>
      </c>
      <c r="B39" s="8" t="s">
        <v>201</v>
      </c>
      <c r="C39" s="8" t="s">
        <v>301</v>
      </c>
      <c r="D39" s="8" t="s">
        <v>28</v>
      </c>
      <c r="E39" s="8" t="s">
        <v>35</v>
      </c>
      <c r="F39" s="8" t="s">
        <v>76</v>
      </c>
      <c r="G39" s="11">
        <v>0</v>
      </c>
      <c r="H39" s="11">
        <v>18.100000000000001</v>
      </c>
      <c r="I39" s="11">
        <v>6.6666666666666666E-2</v>
      </c>
      <c r="J39" s="11">
        <v>1.75</v>
      </c>
      <c r="K39" s="11">
        <v>61.95</v>
      </c>
      <c r="L39" s="11">
        <v>44.95</v>
      </c>
      <c r="M39" s="11">
        <v>206.6166666666667</v>
      </c>
    </row>
    <row r="40" spans="1:13" x14ac:dyDescent="0.25">
      <c r="A40" s="6">
        <v>33</v>
      </c>
      <c r="B40" s="6" t="s">
        <v>205</v>
      </c>
      <c r="C40" s="6" t="s">
        <v>300</v>
      </c>
      <c r="D40" s="6" t="s">
        <v>28</v>
      </c>
      <c r="E40" s="6" t="s">
        <v>35</v>
      </c>
      <c r="F40" s="6" t="s">
        <v>76</v>
      </c>
      <c r="G40" s="10">
        <v>23.4</v>
      </c>
      <c r="H40" s="10">
        <v>37.616666666666667</v>
      </c>
      <c r="I40" s="10">
        <v>0</v>
      </c>
      <c r="J40" s="10">
        <v>0.58333333333333337</v>
      </c>
      <c r="K40" s="10">
        <v>56.670316666666658</v>
      </c>
      <c r="L40" s="10">
        <v>46.800916666666673</v>
      </c>
      <c r="M40" s="10">
        <v>184.98333333333329</v>
      </c>
    </row>
    <row r="41" spans="1:13" x14ac:dyDescent="0.25">
      <c r="A41" s="8">
        <v>33</v>
      </c>
      <c r="B41" s="8" t="s">
        <v>205</v>
      </c>
      <c r="C41" s="8" t="s">
        <v>301</v>
      </c>
      <c r="D41" s="8" t="s">
        <v>28</v>
      </c>
      <c r="E41" s="8" t="s">
        <v>35</v>
      </c>
      <c r="F41" s="8" t="s">
        <v>76</v>
      </c>
      <c r="G41" s="11">
        <v>0</v>
      </c>
      <c r="H41" s="11">
        <v>16.43333333333333</v>
      </c>
      <c r="I41" s="11">
        <v>8.7333333333333325</v>
      </c>
      <c r="J41" s="11">
        <v>5.083333333333333</v>
      </c>
      <c r="K41" s="11">
        <v>63.81666666666667</v>
      </c>
      <c r="L41" s="11">
        <v>46.866666666666667</v>
      </c>
      <c r="M41" s="11">
        <v>176.3828666666667</v>
      </c>
    </row>
    <row r="42" spans="1:13" x14ac:dyDescent="0.25">
      <c r="A42" s="6">
        <v>35</v>
      </c>
      <c r="B42" s="6" t="s">
        <v>212</v>
      </c>
      <c r="C42" s="6" t="s">
        <v>300</v>
      </c>
      <c r="D42" s="6" t="s">
        <v>28</v>
      </c>
      <c r="E42" s="6" t="s">
        <v>29</v>
      </c>
      <c r="F42" s="6" t="s">
        <v>130</v>
      </c>
      <c r="G42" s="10">
        <v>0</v>
      </c>
      <c r="H42" s="10">
        <v>20.65</v>
      </c>
      <c r="I42" s="10">
        <v>8.668333333333333</v>
      </c>
      <c r="J42" s="10">
        <v>2.9833333333333329</v>
      </c>
      <c r="K42" s="10">
        <v>56.783333333333331</v>
      </c>
      <c r="L42" s="10">
        <v>43.369783333333331</v>
      </c>
      <c r="M42" s="10">
        <v>62.483333333333327</v>
      </c>
    </row>
    <row r="43" spans="1:13" x14ac:dyDescent="0.25">
      <c r="A43" s="8">
        <v>35</v>
      </c>
      <c r="B43" s="8" t="s">
        <v>212</v>
      </c>
      <c r="C43" s="8" t="s">
        <v>301</v>
      </c>
      <c r="D43" s="8" t="s">
        <v>28</v>
      </c>
      <c r="E43" s="8" t="s">
        <v>29</v>
      </c>
      <c r="F43" s="8" t="s">
        <v>130</v>
      </c>
      <c r="G43" s="11">
        <v>0</v>
      </c>
      <c r="H43" s="11">
        <v>21.383333333333329</v>
      </c>
      <c r="I43" s="11">
        <v>1</v>
      </c>
      <c r="J43" s="11">
        <v>0</v>
      </c>
      <c r="K43" s="11">
        <v>39.18333333333333</v>
      </c>
      <c r="L43" s="11">
        <v>30.466666666666669</v>
      </c>
      <c r="M43" s="11">
        <v>102.92506666666669</v>
      </c>
    </row>
    <row r="44" spans="1:13" x14ac:dyDescent="0.25">
      <c r="A44" s="6">
        <v>36</v>
      </c>
      <c r="B44" s="6" t="s">
        <v>214</v>
      </c>
      <c r="C44" s="6" t="s">
        <v>300</v>
      </c>
      <c r="D44" s="6" t="s">
        <v>28</v>
      </c>
      <c r="E44" s="6" t="s">
        <v>35</v>
      </c>
      <c r="F44" s="6" t="s">
        <v>88</v>
      </c>
      <c r="G44" s="10">
        <v>40.299999999999997</v>
      </c>
      <c r="H44" s="10">
        <v>46.846666666666671</v>
      </c>
      <c r="I44" s="10">
        <v>23.25</v>
      </c>
      <c r="J44" s="10">
        <v>14.68333333333333</v>
      </c>
      <c r="K44" s="10">
        <v>52.483333333333327</v>
      </c>
      <c r="L44" s="10">
        <v>45.116666666666667</v>
      </c>
      <c r="M44" s="10">
        <v>254.94114999999999</v>
      </c>
    </row>
    <row r="45" spans="1:13" x14ac:dyDescent="0.25">
      <c r="A45" s="8">
        <v>36</v>
      </c>
      <c r="B45" s="8" t="s">
        <v>214</v>
      </c>
      <c r="C45" s="8" t="s">
        <v>301</v>
      </c>
      <c r="D45" s="8" t="s">
        <v>28</v>
      </c>
      <c r="E45" s="8" t="s">
        <v>35</v>
      </c>
      <c r="F45" s="8" t="s">
        <v>88</v>
      </c>
      <c r="G45" s="11">
        <v>0</v>
      </c>
      <c r="H45" s="11">
        <v>35.983333333333327</v>
      </c>
      <c r="I45" s="11">
        <v>0.35</v>
      </c>
      <c r="J45" s="11">
        <v>4.166666666666667</v>
      </c>
      <c r="K45" s="11">
        <v>65.36666666666666</v>
      </c>
      <c r="L45" s="11">
        <v>52.466666666666669</v>
      </c>
      <c r="M45" s="11">
        <v>209.75</v>
      </c>
    </row>
    <row r="46" spans="1:13" x14ac:dyDescent="0.25">
      <c r="A46" s="6">
        <v>37</v>
      </c>
      <c r="B46" s="6" t="s">
        <v>218</v>
      </c>
      <c r="C46" s="6" t="s">
        <v>300</v>
      </c>
      <c r="D46" s="6" t="s">
        <v>28</v>
      </c>
      <c r="E46" s="6" t="s">
        <v>35</v>
      </c>
      <c r="F46" s="6" t="s">
        <v>76</v>
      </c>
      <c r="G46" s="10">
        <v>20.983333333333331</v>
      </c>
      <c r="H46" s="10">
        <v>3.666666666666667</v>
      </c>
      <c r="I46" s="10">
        <v>3.0333333333333332</v>
      </c>
      <c r="J46" s="10">
        <v>7.2833333333333332</v>
      </c>
      <c r="K46" s="10">
        <v>33.003716666666669</v>
      </c>
      <c r="L46" s="10">
        <v>29.65</v>
      </c>
      <c r="M46" s="10">
        <v>163.76666666666671</v>
      </c>
    </row>
    <row r="47" spans="1:13" x14ac:dyDescent="0.25">
      <c r="A47" s="8">
        <v>37</v>
      </c>
      <c r="B47" s="8" t="s">
        <v>218</v>
      </c>
      <c r="C47" s="8" t="s">
        <v>301</v>
      </c>
      <c r="D47" s="8" t="s">
        <v>28</v>
      </c>
      <c r="E47" s="8" t="s">
        <v>35</v>
      </c>
      <c r="F47" s="8" t="s">
        <v>76</v>
      </c>
      <c r="G47" s="11">
        <v>0</v>
      </c>
      <c r="H47" s="11">
        <v>16.43333333333333</v>
      </c>
      <c r="I47" s="11">
        <v>6.3166666666666664</v>
      </c>
      <c r="J47" s="11">
        <v>5</v>
      </c>
      <c r="K47" s="11">
        <v>46.8</v>
      </c>
      <c r="L47" s="11">
        <v>33.416666666666657</v>
      </c>
      <c r="M47" s="11">
        <v>136.9743</v>
      </c>
    </row>
    <row r="48" spans="1:13" x14ac:dyDescent="0.25">
      <c r="A48" s="6">
        <v>40</v>
      </c>
      <c r="B48" s="6" t="s">
        <v>234</v>
      </c>
      <c r="C48" s="6" t="s">
        <v>300</v>
      </c>
      <c r="D48" s="6" t="s">
        <v>28</v>
      </c>
      <c r="E48" s="6" t="s">
        <v>31</v>
      </c>
      <c r="F48" s="6" t="s">
        <v>31</v>
      </c>
      <c r="G48" s="10">
        <v>50.366666666666667</v>
      </c>
      <c r="H48" s="10">
        <v>8.3666666666666671</v>
      </c>
      <c r="I48" s="10">
        <v>17.350000000000001</v>
      </c>
      <c r="J48" s="10">
        <v>4.75</v>
      </c>
      <c r="K48" s="10">
        <v>75.683333333333337</v>
      </c>
      <c r="L48" s="10">
        <v>57.18333333333333</v>
      </c>
      <c r="M48" s="10">
        <v>181.3</v>
      </c>
    </row>
    <row r="49" spans="1:13" x14ac:dyDescent="0.25">
      <c r="A49" s="8">
        <v>40</v>
      </c>
      <c r="B49" s="8" t="s">
        <v>234</v>
      </c>
      <c r="C49" s="8" t="s">
        <v>301</v>
      </c>
      <c r="D49" s="8" t="s">
        <v>28</v>
      </c>
      <c r="E49" s="8" t="s">
        <v>31</v>
      </c>
      <c r="F49" s="8" t="s">
        <v>31</v>
      </c>
      <c r="G49" s="11">
        <v>0</v>
      </c>
      <c r="H49" s="11">
        <v>3.0166666666666671</v>
      </c>
      <c r="I49" s="11">
        <v>4.3</v>
      </c>
      <c r="J49" s="11">
        <v>1.8833333333333331</v>
      </c>
      <c r="K49" s="11">
        <v>49.166666666666657</v>
      </c>
      <c r="L49" s="11">
        <v>35.333333333333343</v>
      </c>
      <c r="M49" s="11">
        <v>225.80481666666671</v>
      </c>
    </row>
    <row r="50" spans="1:13" x14ac:dyDescent="0.25">
      <c r="A50" s="6">
        <v>41</v>
      </c>
      <c r="B50" s="6" t="s">
        <v>238</v>
      </c>
      <c r="C50" s="6" t="s">
        <v>300</v>
      </c>
      <c r="D50" s="6" t="s">
        <v>28</v>
      </c>
      <c r="E50" s="6" t="s">
        <v>31</v>
      </c>
      <c r="F50" s="6" t="s">
        <v>31</v>
      </c>
      <c r="G50" s="10">
        <v>44.68333333333333</v>
      </c>
      <c r="H50" s="10">
        <v>6.6833333333333336</v>
      </c>
      <c r="I50" s="10">
        <v>11.75</v>
      </c>
      <c r="J50" s="10">
        <v>2.0166666666666671</v>
      </c>
      <c r="K50" s="10">
        <v>64.3</v>
      </c>
      <c r="L50" s="10">
        <v>51.866666666666667</v>
      </c>
      <c r="M50" s="10">
        <v>172.54785000000001</v>
      </c>
    </row>
    <row r="51" spans="1:13" x14ac:dyDescent="0.25">
      <c r="A51" s="8">
        <v>41</v>
      </c>
      <c r="B51" s="8" t="s">
        <v>238</v>
      </c>
      <c r="C51" s="8" t="s">
        <v>301</v>
      </c>
      <c r="D51" s="8" t="s">
        <v>28</v>
      </c>
      <c r="E51" s="8" t="s">
        <v>31</v>
      </c>
      <c r="F51" s="8" t="s">
        <v>31</v>
      </c>
      <c r="G51" s="11">
        <v>0</v>
      </c>
      <c r="H51" s="11">
        <v>42.65</v>
      </c>
      <c r="I51" s="11">
        <v>4.45</v>
      </c>
      <c r="J51" s="11">
        <v>12.016666666666669</v>
      </c>
      <c r="K51" s="11">
        <v>56.916666666666657</v>
      </c>
      <c r="L51" s="11">
        <v>49.017066666666658</v>
      </c>
      <c r="M51" s="11">
        <v>207.5</v>
      </c>
    </row>
    <row r="52" spans="1:13" x14ac:dyDescent="0.25">
      <c r="A52" s="6">
        <v>45</v>
      </c>
      <c r="B52" s="6" t="s">
        <v>259</v>
      </c>
      <c r="C52" s="6" t="s">
        <v>300</v>
      </c>
      <c r="D52" s="6" t="s">
        <v>28</v>
      </c>
      <c r="E52" s="6" t="s">
        <v>33</v>
      </c>
      <c r="F52" s="6" t="s">
        <v>33</v>
      </c>
      <c r="G52" s="10">
        <v>63.2</v>
      </c>
      <c r="H52" s="10">
        <v>51.31666666666667</v>
      </c>
      <c r="I52" s="10">
        <v>32.283333333333331</v>
      </c>
      <c r="J52" s="10">
        <v>7.7166666666666668</v>
      </c>
      <c r="K52" s="10">
        <v>69.400000000000006</v>
      </c>
      <c r="L52" s="10">
        <v>57.93333333333333</v>
      </c>
      <c r="M52" s="10">
        <v>164.6</v>
      </c>
    </row>
    <row r="53" spans="1:13" x14ac:dyDescent="0.25">
      <c r="A53" s="8">
        <v>45</v>
      </c>
      <c r="B53" s="8" t="s">
        <v>259</v>
      </c>
      <c r="C53" s="8" t="s">
        <v>301</v>
      </c>
      <c r="D53" s="8" t="s">
        <v>28</v>
      </c>
      <c r="E53" s="8" t="s">
        <v>33</v>
      </c>
      <c r="F53" s="8" t="s">
        <v>33</v>
      </c>
      <c r="G53" s="11">
        <v>0</v>
      </c>
      <c r="H53" s="11">
        <v>24.31666666666667</v>
      </c>
      <c r="I53" s="11">
        <v>2.666666666666667</v>
      </c>
      <c r="J53" s="11">
        <v>5.6833333333333336</v>
      </c>
      <c r="K53" s="11">
        <v>44.133333333333333</v>
      </c>
      <c r="L53" s="11">
        <v>32.116666666666667</v>
      </c>
      <c r="M53" s="11">
        <v>240.50931666666659</v>
      </c>
    </row>
    <row r="54" spans="1:13" x14ac:dyDescent="0.25">
      <c r="A54" s="6">
        <v>46</v>
      </c>
      <c r="B54" s="6" t="s">
        <v>263</v>
      </c>
      <c r="C54" s="6" t="s">
        <v>300</v>
      </c>
      <c r="D54" s="6" t="s">
        <v>28</v>
      </c>
      <c r="E54" s="6" t="s">
        <v>33</v>
      </c>
      <c r="F54" s="6" t="s">
        <v>33</v>
      </c>
      <c r="G54" s="10">
        <v>34.833333333333343</v>
      </c>
      <c r="H54" s="10">
        <v>37.450000000000003</v>
      </c>
      <c r="I54" s="10">
        <v>18.850000000000001</v>
      </c>
      <c r="J54" s="10">
        <v>8</v>
      </c>
      <c r="K54" s="10">
        <v>64.659216666666666</v>
      </c>
      <c r="L54" s="10">
        <v>54.06666666666667</v>
      </c>
      <c r="M54" s="10">
        <v>176.77581666666671</v>
      </c>
    </row>
    <row r="55" spans="1:13" x14ac:dyDescent="0.25">
      <c r="A55" s="8">
        <v>46</v>
      </c>
      <c r="B55" s="8" t="s">
        <v>263</v>
      </c>
      <c r="C55" s="8" t="s">
        <v>301</v>
      </c>
      <c r="D55" s="8" t="s">
        <v>28</v>
      </c>
      <c r="E55" s="8" t="s">
        <v>33</v>
      </c>
      <c r="F55" s="8" t="s">
        <v>33</v>
      </c>
      <c r="G55" s="11">
        <v>0</v>
      </c>
      <c r="H55" s="11">
        <v>20.583333333333329</v>
      </c>
      <c r="I55" s="11">
        <v>2.833333333333333</v>
      </c>
      <c r="J55" s="11">
        <v>4</v>
      </c>
      <c r="K55" s="11">
        <v>46.733333333333327</v>
      </c>
      <c r="L55" s="11">
        <v>35.116666666666667</v>
      </c>
      <c r="M55" s="11">
        <v>220.48333333333329</v>
      </c>
    </row>
    <row r="58" spans="1:13" ht="27.95" customHeight="1" x14ac:dyDescent="0.25">
      <c r="A58" s="55" t="s">
        <v>321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spans="1:13" ht="3.9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1" spans="1:13" ht="30" x14ac:dyDescent="0.25">
      <c r="A61" s="9" t="s">
        <v>59</v>
      </c>
      <c r="B61" s="9" t="s">
        <v>60</v>
      </c>
      <c r="C61" s="9" t="s">
        <v>292</v>
      </c>
      <c r="D61" s="9" t="s">
        <v>24</v>
      </c>
      <c r="E61" s="9" t="s">
        <v>61</v>
      </c>
      <c r="F61" s="9" t="s">
        <v>62</v>
      </c>
      <c r="G61" s="9" t="s">
        <v>293</v>
      </c>
      <c r="H61" s="9" t="s">
        <v>294</v>
      </c>
      <c r="I61" s="9" t="s">
        <v>295</v>
      </c>
      <c r="J61" s="9" t="s">
        <v>296</v>
      </c>
      <c r="K61" s="9" t="s">
        <v>297</v>
      </c>
      <c r="L61" s="9" t="s">
        <v>298</v>
      </c>
      <c r="M61" s="9" t="s">
        <v>299</v>
      </c>
    </row>
    <row r="62" spans="1:13" x14ac:dyDescent="0.25">
      <c r="A62" s="6">
        <v>3</v>
      </c>
      <c r="B62" s="6" t="s">
        <v>87</v>
      </c>
      <c r="C62" s="6" t="s">
        <v>300</v>
      </c>
      <c r="D62" s="6" t="s">
        <v>28</v>
      </c>
      <c r="E62" s="6" t="s">
        <v>35</v>
      </c>
      <c r="F62" s="6" t="s">
        <v>88</v>
      </c>
      <c r="G62" s="10">
        <v>0.32207239596471771</v>
      </c>
      <c r="H62" s="10">
        <v>0.46962669093374088</v>
      </c>
      <c r="I62" s="10">
        <v>0</v>
      </c>
      <c r="J62" s="10">
        <v>0.26467880112010561</v>
      </c>
      <c r="K62" s="10">
        <v>46.828639184274387</v>
      </c>
      <c r="L62" s="10">
        <v>41.953809708617477</v>
      </c>
      <c r="M62" s="10">
        <v>230.50068292981709</v>
      </c>
    </row>
    <row r="63" spans="1:13" x14ac:dyDescent="0.25">
      <c r="A63" s="8">
        <v>3</v>
      </c>
      <c r="B63" s="8" t="s">
        <v>87</v>
      </c>
      <c r="C63" s="8" t="s">
        <v>301</v>
      </c>
      <c r="D63" s="8" t="s">
        <v>28</v>
      </c>
      <c r="E63" s="8" t="s">
        <v>35</v>
      </c>
      <c r="F63" s="8" t="s">
        <v>88</v>
      </c>
      <c r="G63" s="11">
        <v>0</v>
      </c>
      <c r="H63" s="11">
        <v>0.34734042341449439</v>
      </c>
      <c r="I63" s="11">
        <v>0</v>
      </c>
      <c r="J63" s="11">
        <v>0.43740140315438419</v>
      </c>
      <c r="K63" s="11">
        <v>58.410381444501432</v>
      </c>
      <c r="L63" s="11">
        <v>47.464359459883809</v>
      </c>
      <c r="M63" s="11">
        <v>214.02953530309489</v>
      </c>
    </row>
    <row r="64" spans="1:13" x14ac:dyDescent="0.25">
      <c r="A64" s="6">
        <v>5</v>
      </c>
      <c r="B64" s="6" t="s">
        <v>102</v>
      </c>
      <c r="C64" s="6" t="s">
        <v>300</v>
      </c>
      <c r="D64" s="6" t="s">
        <v>28</v>
      </c>
      <c r="E64" s="6" t="s">
        <v>29</v>
      </c>
      <c r="F64" s="6" t="s">
        <v>96</v>
      </c>
      <c r="G64" s="10">
        <v>0</v>
      </c>
      <c r="H64" s="10">
        <v>0.35568686098748031</v>
      </c>
      <c r="I64" s="10">
        <v>0.46935934842854138</v>
      </c>
      <c r="J64" s="10">
        <v>0.35650575379932598</v>
      </c>
      <c r="K64" s="10">
        <v>43.251327961348252</v>
      </c>
      <c r="L64" s="10">
        <v>30.282041524727092</v>
      </c>
      <c r="M64" s="10">
        <v>66.907081684469304</v>
      </c>
    </row>
    <row r="65" spans="1:13" x14ac:dyDescent="0.25">
      <c r="A65" s="8">
        <v>5</v>
      </c>
      <c r="B65" s="8" t="s">
        <v>102</v>
      </c>
      <c r="C65" s="8" t="s">
        <v>301</v>
      </c>
      <c r="D65" s="8" t="s">
        <v>28</v>
      </c>
      <c r="E65" s="8" t="s">
        <v>29</v>
      </c>
      <c r="F65" s="8" t="s">
        <v>96</v>
      </c>
      <c r="G65" s="11">
        <v>0</v>
      </c>
      <c r="H65" s="11">
        <v>0.22156090055420241</v>
      </c>
      <c r="I65" s="11">
        <v>0</v>
      </c>
      <c r="J65" s="11">
        <v>0.11647473715777031</v>
      </c>
      <c r="K65" s="11">
        <v>21.52228685090974</v>
      </c>
      <c r="L65" s="11">
        <v>17.072623143274491</v>
      </c>
      <c r="M65" s="11">
        <v>102.738159054381</v>
      </c>
    </row>
    <row r="66" spans="1:13" x14ac:dyDescent="0.25">
      <c r="A66" s="6">
        <v>7</v>
      </c>
      <c r="B66" s="6" t="s">
        <v>111</v>
      </c>
      <c r="C66" s="6" t="s">
        <v>300</v>
      </c>
      <c r="D66" s="6" t="s">
        <v>28</v>
      </c>
      <c r="E66" s="6" t="s">
        <v>29</v>
      </c>
      <c r="F66" s="6" t="s">
        <v>96</v>
      </c>
      <c r="G66" s="10">
        <v>0</v>
      </c>
      <c r="H66" s="10">
        <v>0.4715380269015641</v>
      </c>
      <c r="I66" s="10">
        <v>0.72334267161559207</v>
      </c>
      <c r="J66" s="10">
        <v>0.62657519758941227</v>
      </c>
      <c r="K66" s="10">
        <v>44.372426251753588</v>
      </c>
      <c r="L66" s="10">
        <v>30.69503766819436</v>
      </c>
      <c r="M66" s="10">
        <v>69.221442413661691</v>
      </c>
    </row>
    <row r="67" spans="1:13" x14ac:dyDescent="0.25">
      <c r="A67" s="8">
        <v>7</v>
      </c>
      <c r="B67" s="8" t="s">
        <v>111</v>
      </c>
      <c r="C67" s="8" t="s">
        <v>301</v>
      </c>
      <c r="D67" s="8" t="s">
        <v>28</v>
      </c>
      <c r="E67" s="8" t="s">
        <v>29</v>
      </c>
      <c r="F67" s="8" t="s">
        <v>96</v>
      </c>
      <c r="G67" s="11">
        <v>0</v>
      </c>
      <c r="H67" s="11">
        <v>0.56746055645718996</v>
      </c>
      <c r="I67" s="11">
        <v>0.55256306869115623</v>
      </c>
      <c r="J67" s="11">
        <v>1.005496809016533</v>
      </c>
      <c r="K67" s="11">
        <v>27.609909695058061</v>
      </c>
      <c r="L67" s="11">
        <v>19.892928271907479</v>
      </c>
      <c r="M67" s="11">
        <v>96.565811989808935</v>
      </c>
    </row>
    <row r="68" spans="1:13" x14ac:dyDescent="0.25">
      <c r="A68" s="6">
        <v>16</v>
      </c>
      <c r="B68" s="6" t="s">
        <v>153</v>
      </c>
      <c r="C68" s="6" t="s">
        <v>300</v>
      </c>
      <c r="D68" s="6" t="s">
        <v>28</v>
      </c>
      <c r="E68" s="6" t="s">
        <v>29</v>
      </c>
      <c r="F68" s="6" t="s">
        <v>130</v>
      </c>
      <c r="G68" s="10">
        <v>0</v>
      </c>
      <c r="H68" s="10">
        <v>1.349334550099321</v>
      </c>
      <c r="I68" s="10">
        <v>0.85626343374075942</v>
      </c>
      <c r="J68" s="10">
        <v>0.6700482500107362</v>
      </c>
      <c r="K68" s="10">
        <v>44.025744768194123</v>
      </c>
      <c r="L68" s="10">
        <v>31.17572674470658</v>
      </c>
      <c r="M68" s="10">
        <v>74.16217403535677</v>
      </c>
    </row>
    <row r="69" spans="1:13" x14ac:dyDescent="0.25">
      <c r="A69" s="8">
        <v>16</v>
      </c>
      <c r="B69" s="8" t="s">
        <v>153</v>
      </c>
      <c r="C69" s="8" t="s">
        <v>301</v>
      </c>
      <c r="D69" s="8" t="s">
        <v>28</v>
      </c>
      <c r="E69" s="8" t="s">
        <v>29</v>
      </c>
      <c r="F69" s="8" t="s">
        <v>130</v>
      </c>
      <c r="G69" s="11">
        <v>0</v>
      </c>
      <c r="H69" s="11">
        <v>0.32294108699012902</v>
      </c>
      <c r="I69" s="11">
        <v>0.5256426997626461</v>
      </c>
      <c r="J69" s="11">
        <v>1.2222826160609359</v>
      </c>
      <c r="K69" s="11">
        <v>30.18268163700424</v>
      </c>
      <c r="L69" s="11">
        <v>24.79776882222491</v>
      </c>
      <c r="M69" s="11">
        <v>96.896273385660237</v>
      </c>
    </row>
    <row r="70" spans="1:13" x14ac:dyDescent="0.25">
      <c r="A70" s="6">
        <v>24</v>
      </c>
      <c r="B70" s="6" t="s">
        <v>178</v>
      </c>
      <c r="C70" s="6" t="s">
        <v>300</v>
      </c>
      <c r="D70" s="6" t="s">
        <v>28</v>
      </c>
      <c r="E70" s="6" t="s">
        <v>29</v>
      </c>
      <c r="F70" s="6" t="s">
        <v>130</v>
      </c>
      <c r="G70" s="10">
        <v>0</v>
      </c>
      <c r="H70" s="10">
        <v>0.43287959154678851</v>
      </c>
      <c r="I70" s="10">
        <v>0.5147545761381157</v>
      </c>
      <c r="J70" s="10">
        <v>0.73819242016004771</v>
      </c>
      <c r="K70" s="10">
        <v>38.040822350023817</v>
      </c>
      <c r="L70" s="10">
        <v>28.349735048175351</v>
      </c>
      <c r="M70" s="10">
        <v>56.945127768261933</v>
      </c>
    </row>
    <row r="71" spans="1:13" x14ac:dyDescent="0.25">
      <c r="A71" s="8">
        <v>24</v>
      </c>
      <c r="B71" s="8" t="s">
        <v>178</v>
      </c>
      <c r="C71" s="8" t="s">
        <v>301</v>
      </c>
      <c r="D71" s="8" t="s">
        <v>28</v>
      </c>
      <c r="E71" s="8" t="s">
        <v>29</v>
      </c>
      <c r="F71" s="8" t="s">
        <v>130</v>
      </c>
      <c r="G71" s="11">
        <v>0</v>
      </c>
      <c r="H71" s="11">
        <v>0.1090721560237224</v>
      </c>
      <c r="I71" s="11">
        <v>0.87722495457012495</v>
      </c>
      <c r="J71" s="11">
        <v>0</v>
      </c>
      <c r="K71" s="11">
        <v>28.213201619757211</v>
      </c>
      <c r="L71" s="11">
        <v>20.93633895165053</v>
      </c>
      <c r="M71" s="11">
        <v>73.751298912570178</v>
      </c>
    </row>
    <row r="72" spans="1:13" x14ac:dyDescent="0.25">
      <c r="A72" s="6">
        <v>27</v>
      </c>
      <c r="B72" s="6" t="s">
        <v>186</v>
      </c>
      <c r="C72" s="6" t="s">
        <v>300</v>
      </c>
      <c r="D72" s="6" t="s">
        <v>28</v>
      </c>
      <c r="E72" s="6" t="s">
        <v>29</v>
      </c>
      <c r="F72" s="6" t="s">
        <v>130</v>
      </c>
      <c r="G72" s="10">
        <v>0</v>
      </c>
      <c r="H72" s="10">
        <v>0.1769495542483206</v>
      </c>
      <c r="I72" s="10">
        <v>0.28644165794522208</v>
      </c>
      <c r="J72" s="10">
        <v>0.23768555241039721</v>
      </c>
      <c r="K72" s="10">
        <v>48.513466786391881</v>
      </c>
      <c r="L72" s="10">
        <v>34.664168060301797</v>
      </c>
      <c r="M72" s="10">
        <v>54.415752988771978</v>
      </c>
    </row>
    <row r="73" spans="1:13" x14ac:dyDescent="0.25">
      <c r="A73" s="8">
        <v>27</v>
      </c>
      <c r="B73" s="8" t="s">
        <v>186</v>
      </c>
      <c r="C73" s="8" t="s">
        <v>301</v>
      </c>
      <c r="D73" s="8" t="s">
        <v>28</v>
      </c>
      <c r="E73" s="8" t="s">
        <v>29</v>
      </c>
      <c r="F73" s="8" t="s">
        <v>130</v>
      </c>
      <c r="G73" s="11">
        <v>0</v>
      </c>
      <c r="H73" s="11">
        <v>0.11699904226004509</v>
      </c>
      <c r="I73" s="11">
        <v>0.95688081818818838</v>
      </c>
      <c r="J73" s="11">
        <v>0.74908888986193567</v>
      </c>
      <c r="K73" s="11">
        <v>36.712209444916184</v>
      </c>
      <c r="L73" s="11">
        <v>25.040527354235781</v>
      </c>
      <c r="M73" s="11">
        <v>74.293641117732662</v>
      </c>
    </row>
    <row r="74" spans="1:13" x14ac:dyDescent="0.25">
      <c r="A74" s="6">
        <v>32</v>
      </c>
      <c r="B74" s="6" t="s">
        <v>201</v>
      </c>
      <c r="C74" s="6" t="s">
        <v>300</v>
      </c>
      <c r="D74" s="6" t="s">
        <v>28</v>
      </c>
      <c r="E74" s="6" t="s">
        <v>35</v>
      </c>
      <c r="F74" s="6" t="s">
        <v>76</v>
      </c>
      <c r="G74" s="10">
        <v>0.14191087104532421</v>
      </c>
      <c r="H74" s="10">
        <v>1.601243883509142</v>
      </c>
      <c r="I74" s="10">
        <v>0</v>
      </c>
      <c r="J74" s="10">
        <v>0.2289474824354939</v>
      </c>
      <c r="K74" s="10">
        <v>60.390008783948808</v>
      </c>
      <c r="L74" s="10">
        <v>48.618346688203523</v>
      </c>
      <c r="M74" s="10">
        <v>213.8473891466835</v>
      </c>
    </row>
    <row r="75" spans="1:13" x14ac:dyDescent="0.25">
      <c r="A75" s="8">
        <v>32</v>
      </c>
      <c r="B75" s="8" t="s">
        <v>201</v>
      </c>
      <c r="C75" s="8" t="s">
        <v>301</v>
      </c>
      <c r="D75" s="8" t="s">
        <v>28</v>
      </c>
      <c r="E75" s="8" t="s">
        <v>35</v>
      </c>
      <c r="F75" s="8" t="s">
        <v>76</v>
      </c>
      <c r="G75" s="11">
        <v>0</v>
      </c>
      <c r="H75" s="11">
        <v>0.2136487015115684</v>
      </c>
      <c r="I75" s="11">
        <v>0</v>
      </c>
      <c r="J75" s="11">
        <v>0.30731281945969252</v>
      </c>
      <c r="K75" s="11">
        <v>59.158885604214703</v>
      </c>
      <c r="L75" s="11">
        <v>41.619295306483529</v>
      </c>
      <c r="M75" s="11">
        <v>229.35471122561461</v>
      </c>
    </row>
    <row r="76" spans="1:13" x14ac:dyDescent="0.25">
      <c r="A76" s="6">
        <v>33</v>
      </c>
      <c r="B76" s="6" t="s">
        <v>205</v>
      </c>
      <c r="C76" s="6" t="s">
        <v>300</v>
      </c>
      <c r="D76" s="6" t="s">
        <v>28</v>
      </c>
      <c r="E76" s="6" t="s">
        <v>35</v>
      </c>
      <c r="F76" s="6" t="s">
        <v>76</v>
      </c>
      <c r="G76" s="10">
        <v>0.14191087104532421</v>
      </c>
      <c r="H76" s="10">
        <v>1.601243883509142</v>
      </c>
      <c r="I76" s="10">
        <v>0</v>
      </c>
      <c r="J76" s="10">
        <v>0.2289474824354939</v>
      </c>
      <c r="K76" s="10">
        <v>59.191315216437189</v>
      </c>
      <c r="L76" s="10">
        <v>47.930006827141881</v>
      </c>
      <c r="M76" s="10">
        <v>211.20157917584299</v>
      </c>
    </row>
    <row r="77" spans="1:13" x14ac:dyDescent="0.25">
      <c r="A77" s="8">
        <v>33</v>
      </c>
      <c r="B77" s="8" t="s">
        <v>205</v>
      </c>
      <c r="C77" s="8" t="s">
        <v>301</v>
      </c>
      <c r="D77" s="8" t="s">
        <v>28</v>
      </c>
      <c r="E77" s="8" t="s">
        <v>35</v>
      </c>
      <c r="F77" s="8" t="s">
        <v>76</v>
      </c>
      <c r="G77" s="11">
        <v>0</v>
      </c>
      <c r="H77" s="11">
        <v>8.3882197240028836E-2</v>
      </c>
      <c r="I77" s="11">
        <v>4.6840289826681099E-2</v>
      </c>
      <c r="J77" s="11">
        <v>0.24952844734976529</v>
      </c>
      <c r="K77" s="11">
        <v>61.459796257234032</v>
      </c>
      <c r="L77" s="11">
        <v>46.932577465389251</v>
      </c>
      <c r="M77" s="11">
        <v>212.15760828628709</v>
      </c>
    </row>
    <row r="78" spans="1:13" x14ac:dyDescent="0.25">
      <c r="A78" s="6">
        <v>35</v>
      </c>
      <c r="B78" s="6" t="s">
        <v>212</v>
      </c>
      <c r="C78" s="6" t="s">
        <v>300</v>
      </c>
      <c r="D78" s="6" t="s">
        <v>28</v>
      </c>
      <c r="E78" s="6" t="s">
        <v>29</v>
      </c>
      <c r="F78" s="6" t="s">
        <v>130</v>
      </c>
      <c r="G78" s="10">
        <v>0</v>
      </c>
      <c r="H78" s="10">
        <v>7.0507928329398672E-2</v>
      </c>
      <c r="I78" s="10">
        <v>0.1448841273528465</v>
      </c>
      <c r="J78" s="10">
        <v>0.25921076400223497</v>
      </c>
      <c r="K78" s="10">
        <v>43.798166138630357</v>
      </c>
      <c r="L78" s="10">
        <v>31.327707045503551</v>
      </c>
      <c r="M78" s="10">
        <v>50.141193298572247</v>
      </c>
    </row>
    <row r="79" spans="1:13" x14ac:dyDescent="0.25">
      <c r="A79" s="8">
        <v>35</v>
      </c>
      <c r="B79" s="8" t="s">
        <v>212</v>
      </c>
      <c r="C79" s="8" t="s">
        <v>301</v>
      </c>
      <c r="D79" s="8" t="s">
        <v>28</v>
      </c>
      <c r="E79" s="8" t="s">
        <v>29</v>
      </c>
      <c r="F79" s="8" t="s">
        <v>130</v>
      </c>
      <c r="G79" s="11">
        <v>0</v>
      </c>
      <c r="H79" s="11">
        <v>0.1090721560237224</v>
      </c>
      <c r="I79" s="11">
        <v>0.85914424303480363</v>
      </c>
      <c r="J79" s="11">
        <v>0</v>
      </c>
      <c r="K79" s="11">
        <v>28.213201619757211</v>
      </c>
      <c r="L79" s="11">
        <v>20.93633895165053</v>
      </c>
      <c r="M79" s="11">
        <v>73.864623033822284</v>
      </c>
    </row>
    <row r="80" spans="1:13" x14ac:dyDescent="0.25">
      <c r="A80" s="6">
        <v>36</v>
      </c>
      <c r="B80" s="6" t="s">
        <v>214</v>
      </c>
      <c r="C80" s="6" t="s">
        <v>300</v>
      </c>
      <c r="D80" s="6" t="s">
        <v>28</v>
      </c>
      <c r="E80" s="6" t="s">
        <v>35</v>
      </c>
      <c r="F80" s="6" t="s">
        <v>88</v>
      </c>
      <c r="G80" s="10">
        <v>7.3400927521957676E-2</v>
      </c>
      <c r="H80" s="10">
        <v>0.70180496243028956</v>
      </c>
      <c r="I80" s="10">
        <v>4.5554317839269158E-2</v>
      </c>
      <c r="J80" s="10">
        <v>1.402436801450748</v>
      </c>
      <c r="K80" s="10">
        <v>43.073610496415832</v>
      </c>
      <c r="L80" s="10">
        <v>38.728575105778127</v>
      </c>
      <c r="M80" s="10">
        <v>242.43273005286389</v>
      </c>
    </row>
    <row r="81" spans="1:13" x14ac:dyDescent="0.25">
      <c r="A81" s="8">
        <v>36</v>
      </c>
      <c r="B81" s="8" t="s">
        <v>214</v>
      </c>
      <c r="C81" s="8" t="s">
        <v>301</v>
      </c>
      <c r="D81" s="8" t="s">
        <v>28</v>
      </c>
      <c r="E81" s="8" t="s">
        <v>35</v>
      </c>
      <c r="F81" s="8" t="s">
        <v>88</v>
      </c>
      <c r="G81" s="11">
        <v>0</v>
      </c>
      <c r="H81" s="11">
        <v>0.34734042341449439</v>
      </c>
      <c r="I81" s="11">
        <v>0</v>
      </c>
      <c r="J81" s="11">
        <v>0.45457411253170432</v>
      </c>
      <c r="K81" s="11">
        <v>60.408704745590633</v>
      </c>
      <c r="L81" s="11">
        <v>48.510694040374013</v>
      </c>
      <c r="M81" s="11">
        <v>216.86930410634201</v>
      </c>
    </row>
    <row r="82" spans="1:13" x14ac:dyDescent="0.25">
      <c r="A82" s="6">
        <v>37</v>
      </c>
      <c r="B82" s="6" t="s">
        <v>218</v>
      </c>
      <c r="C82" s="6" t="s">
        <v>300</v>
      </c>
      <c r="D82" s="6" t="s">
        <v>28</v>
      </c>
      <c r="E82" s="6" t="s">
        <v>35</v>
      </c>
      <c r="F82" s="6" t="s">
        <v>76</v>
      </c>
      <c r="G82" s="10">
        <v>0.30535713043367269</v>
      </c>
      <c r="H82" s="10">
        <v>0.14094843113112021</v>
      </c>
      <c r="I82" s="10">
        <v>5.4215425897099186E-3</v>
      </c>
      <c r="J82" s="10">
        <v>0.92447727733159768</v>
      </c>
      <c r="K82" s="10">
        <v>30.514332664280492</v>
      </c>
      <c r="L82" s="10">
        <v>28.675992224263862</v>
      </c>
      <c r="M82" s="10">
        <v>188.56031910176461</v>
      </c>
    </row>
    <row r="83" spans="1:13" x14ac:dyDescent="0.25">
      <c r="A83" s="8">
        <v>37</v>
      </c>
      <c r="B83" s="8" t="s">
        <v>218</v>
      </c>
      <c r="C83" s="8" t="s">
        <v>301</v>
      </c>
      <c r="D83" s="8" t="s">
        <v>28</v>
      </c>
      <c r="E83" s="8" t="s">
        <v>35</v>
      </c>
      <c r="F83" s="8" t="s">
        <v>76</v>
      </c>
      <c r="G83" s="11">
        <v>0</v>
      </c>
      <c r="H83" s="11">
        <v>8.3882197240028836E-2</v>
      </c>
      <c r="I83" s="11">
        <v>2.4298019276443351E-2</v>
      </c>
      <c r="J83" s="11">
        <v>0.2309310830082773</v>
      </c>
      <c r="K83" s="11">
        <v>45.486197913377573</v>
      </c>
      <c r="L83" s="11">
        <v>34.428473200240241</v>
      </c>
      <c r="M83" s="11">
        <v>169.6534187990338</v>
      </c>
    </row>
    <row r="84" spans="1:13" x14ac:dyDescent="0.25">
      <c r="A84" s="6">
        <v>40</v>
      </c>
      <c r="B84" s="6" t="s">
        <v>234</v>
      </c>
      <c r="C84" s="6" t="s">
        <v>300</v>
      </c>
      <c r="D84" s="6" t="s">
        <v>28</v>
      </c>
      <c r="E84" s="6" t="s">
        <v>31</v>
      </c>
      <c r="F84" s="6" t="s">
        <v>31</v>
      </c>
      <c r="G84" s="10">
        <v>0.1423627546916193</v>
      </c>
      <c r="H84" s="10">
        <v>0.19087658536061269</v>
      </c>
      <c r="I84" s="10">
        <v>0.1087001286100384</v>
      </c>
      <c r="J84" s="10">
        <v>0.39868431866922599</v>
      </c>
      <c r="K84" s="10">
        <v>67.358249040373622</v>
      </c>
      <c r="L84" s="10">
        <v>52.27381680184341</v>
      </c>
      <c r="M84" s="10">
        <v>205.9508621472857</v>
      </c>
    </row>
    <row r="85" spans="1:13" x14ac:dyDescent="0.25">
      <c r="A85" s="8">
        <v>40</v>
      </c>
      <c r="B85" s="8" t="s">
        <v>234</v>
      </c>
      <c r="C85" s="8" t="s">
        <v>301</v>
      </c>
      <c r="D85" s="8" t="s">
        <v>28</v>
      </c>
      <c r="E85" s="8" t="s">
        <v>31</v>
      </c>
      <c r="F85" s="8" t="s">
        <v>31</v>
      </c>
      <c r="G85" s="11">
        <v>0</v>
      </c>
      <c r="H85" s="11">
        <v>2.1664931883547331E-3</v>
      </c>
      <c r="I85" s="11">
        <v>4.085835435001741E-2</v>
      </c>
      <c r="J85" s="11">
        <v>0.36129624957342932</v>
      </c>
      <c r="K85" s="11">
        <v>42.505617415062652</v>
      </c>
      <c r="L85" s="11">
        <v>30.728695534576911</v>
      </c>
      <c r="M85" s="11">
        <v>252.31347506200601</v>
      </c>
    </row>
    <row r="86" spans="1:13" x14ac:dyDescent="0.25">
      <c r="A86" s="6">
        <v>41</v>
      </c>
      <c r="B86" s="6" t="s">
        <v>238</v>
      </c>
      <c r="C86" s="6" t="s">
        <v>300</v>
      </c>
      <c r="D86" s="6" t="s">
        <v>28</v>
      </c>
      <c r="E86" s="6" t="s">
        <v>31</v>
      </c>
      <c r="F86" s="6" t="s">
        <v>31</v>
      </c>
      <c r="G86" s="10">
        <v>5.2222732101069563E-2</v>
      </c>
      <c r="H86" s="10">
        <v>0.12701409600270411</v>
      </c>
      <c r="I86" s="10">
        <v>3.1548608690509579E-2</v>
      </c>
      <c r="J86" s="10">
        <v>0.16750319091501231</v>
      </c>
      <c r="K86" s="10">
        <v>59.993505539180077</v>
      </c>
      <c r="L86" s="10">
        <v>53.823119668093447</v>
      </c>
      <c r="M86" s="10">
        <v>211.25438556095691</v>
      </c>
    </row>
    <row r="87" spans="1:13" x14ac:dyDescent="0.25">
      <c r="A87" s="8">
        <v>41</v>
      </c>
      <c r="B87" s="8" t="s">
        <v>238</v>
      </c>
      <c r="C87" s="8" t="s">
        <v>301</v>
      </c>
      <c r="D87" s="8" t="s">
        <v>28</v>
      </c>
      <c r="E87" s="8" t="s">
        <v>31</v>
      </c>
      <c r="F87" s="8" t="s">
        <v>31</v>
      </c>
      <c r="G87" s="11">
        <v>0</v>
      </c>
      <c r="H87" s="11">
        <v>0.54761889554039</v>
      </c>
      <c r="I87" s="11">
        <v>5.0473616639224998E-2</v>
      </c>
      <c r="J87" s="11">
        <v>0.94513627935308775</v>
      </c>
      <c r="K87" s="11">
        <v>50.235548888441691</v>
      </c>
      <c r="L87" s="11">
        <v>45.362202854839133</v>
      </c>
      <c r="M87" s="11">
        <v>228.0564978626206</v>
      </c>
    </row>
    <row r="88" spans="1:13" x14ac:dyDescent="0.25">
      <c r="A88" s="6">
        <v>45</v>
      </c>
      <c r="B88" s="6" t="s">
        <v>259</v>
      </c>
      <c r="C88" s="6" t="s">
        <v>300</v>
      </c>
      <c r="D88" s="6" t="s">
        <v>28</v>
      </c>
      <c r="E88" s="6" t="s">
        <v>33</v>
      </c>
      <c r="F88" s="6" t="s">
        <v>33</v>
      </c>
      <c r="G88" s="10">
        <v>0.1119717603069536</v>
      </c>
      <c r="H88" s="10">
        <v>0.2137910036648912</v>
      </c>
      <c r="I88" s="10">
        <v>2.66289259127734E-2</v>
      </c>
      <c r="J88" s="10">
        <v>0.56215733478846408</v>
      </c>
      <c r="K88" s="10">
        <v>67.301100613028154</v>
      </c>
      <c r="L88" s="10">
        <v>56.319756834393488</v>
      </c>
      <c r="M88" s="10">
        <v>197.7381876113653</v>
      </c>
    </row>
    <row r="89" spans="1:13" x14ac:dyDescent="0.25">
      <c r="A89" s="8">
        <v>45</v>
      </c>
      <c r="B89" s="8" t="s">
        <v>259</v>
      </c>
      <c r="C89" s="8" t="s">
        <v>301</v>
      </c>
      <c r="D89" s="8" t="s">
        <v>28</v>
      </c>
      <c r="E89" s="8" t="s">
        <v>33</v>
      </c>
      <c r="F89" s="8" t="s">
        <v>33</v>
      </c>
      <c r="G89" s="11">
        <v>0</v>
      </c>
      <c r="H89" s="11">
        <v>0.44332241051292248</v>
      </c>
      <c r="I89" s="11">
        <v>0.428265735708522</v>
      </c>
      <c r="J89" s="11">
        <v>0.51104472499002784</v>
      </c>
      <c r="K89" s="11">
        <v>36.197264170490961</v>
      </c>
      <c r="L89" s="11">
        <v>28.879561718426849</v>
      </c>
      <c r="M89" s="11">
        <v>256.18752385879287</v>
      </c>
    </row>
    <row r="90" spans="1:13" x14ac:dyDescent="0.25">
      <c r="A90" s="6">
        <v>46</v>
      </c>
      <c r="B90" s="6" t="s">
        <v>263</v>
      </c>
      <c r="C90" s="6" t="s">
        <v>300</v>
      </c>
      <c r="D90" s="6" t="s">
        <v>28</v>
      </c>
      <c r="E90" s="6" t="s">
        <v>33</v>
      </c>
      <c r="F90" s="6" t="s">
        <v>33</v>
      </c>
      <c r="G90" s="10">
        <v>8.8935996553685642E-2</v>
      </c>
      <c r="H90" s="10">
        <v>0.1794253337608642</v>
      </c>
      <c r="I90" s="10">
        <v>5.059730733317578E-2</v>
      </c>
      <c r="J90" s="10">
        <v>0.57665162648251256</v>
      </c>
      <c r="K90" s="10">
        <v>63.807175975714962</v>
      </c>
      <c r="L90" s="10">
        <v>54.004262033049137</v>
      </c>
      <c r="M90" s="10">
        <v>206.22798010798391</v>
      </c>
    </row>
    <row r="91" spans="1:13" x14ac:dyDescent="0.25">
      <c r="A91" s="8">
        <v>46</v>
      </c>
      <c r="B91" s="8" t="s">
        <v>263</v>
      </c>
      <c r="C91" s="8" t="s">
        <v>301</v>
      </c>
      <c r="D91" s="8" t="s">
        <v>28</v>
      </c>
      <c r="E91" s="8" t="s">
        <v>33</v>
      </c>
      <c r="F91" s="8" t="s">
        <v>33</v>
      </c>
      <c r="G91" s="11">
        <v>0</v>
      </c>
      <c r="H91" s="11">
        <v>0.47667835410688608</v>
      </c>
      <c r="I91" s="11">
        <v>1.27297174998127E-2</v>
      </c>
      <c r="J91" s="11">
        <v>0.4202840859765154</v>
      </c>
      <c r="K91" s="11">
        <v>41.502099869045793</v>
      </c>
      <c r="L91" s="11">
        <v>32.504544856726113</v>
      </c>
      <c r="M91" s="11">
        <v>250.81001115689449</v>
      </c>
    </row>
  </sheetData>
  <autoFilter ref="A61:M91"/>
  <mergeCells count="3">
    <mergeCell ref="A1:V1"/>
    <mergeCell ref="A58:M58"/>
    <mergeCell ref="A22:M2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9" width="22" customWidth="1"/>
    <col min="10" max="10" width="28" customWidth="1"/>
    <col min="11" max="11" width="26" customWidth="1"/>
    <col min="12" max="16" width="19" customWidth="1"/>
    <col min="17" max="17" width="15" customWidth="1"/>
    <col min="18" max="18" width="13" customWidth="1"/>
    <col min="19" max="19" width="16" customWidth="1"/>
    <col min="20" max="20" width="14" customWidth="1"/>
    <col min="21" max="22" width="28" customWidth="1"/>
  </cols>
  <sheetData>
    <row r="1" spans="1:22" ht="27.95" customHeight="1" x14ac:dyDescent="0.25">
      <c r="A1" s="55" t="s">
        <v>322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2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2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316</v>
      </c>
      <c r="J4" s="9" t="s">
        <v>317</v>
      </c>
      <c r="K4" s="9" t="s">
        <v>318</v>
      </c>
      <c r="L4" s="9" t="s">
        <v>319</v>
      </c>
      <c r="M4" s="9" t="s">
        <v>65</v>
      </c>
      <c r="N4" s="9" t="s">
        <v>66</v>
      </c>
      <c r="O4" s="9" t="s">
        <v>67</v>
      </c>
      <c r="P4" s="9" t="s">
        <v>68</v>
      </c>
      <c r="Q4" s="9" t="s">
        <v>69</v>
      </c>
      <c r="R4" s="9" t="s">
        <v>70</v>
      </c>
      <c r="S4" s="9" t="s">
        <v>71</v>
      </c>
      <c r="T4" s="9" t="s">
        <v>72</v>
      </c>
      <c r="U4" s="9" t="s">
        <v>73</v>
      </c>
      <c r="V4" s="9" t="s">
        <v>74</v>
      </c>
    </row>
    <row r="5" spans="1:22" x14ac:dyDescent="0.25">
      <c r="A5" s="6">
        <v>3</v>
      </c>
      <c r="B5" s="6" t="s">
        <v>87</v>
      </c>
      <c r="C5" s="6" t="s">
        <v>44</v>
      </c>
      <c r="D5" s="6" t="s">
        <v>28</v>
      </c>
      <c r="E5" s="6" t="s">
        <v>35</v>
      </c>
      <c r="F5" s="6" t="s">
        <v>88</v>
      </c>
      <c r="G5" s="6" t="s">
        <v>89</v>
      </c>
      <c r="H5" s="6" t="s">
        <v>90</v>
      </c>
      <c r="I5" s="6" t="s">
        <v>309</v>
      </c>
      <c r="J5" s="10">
        <v>59.049999999999947</v>
      </c>
      <c r="K5" s="10">
        <v>120</v>
      </c>
      <c r="L5" s="6" t="s">
        <v>309</v>
      </c>
      <c r="M5" s="10">
        <v>320.33950971072761</v>
      </c>
      <c r="N5" s="10">
        <v>320.68901803404901</v>
      </c>
      <c r="O5" s="10">
        <v>345.61666666666667</v>
      </c>
      <c r="P5" s="10">
        <v>358.39743333333331</v>
      </c>
      <c r="Q5" s="6" t="s">
        <v>91</v>
      </c>
      <c r="R5" s="6" t="s">
        <v>92</v>
      </c>
      <c r="S5" s="6" t="s">
        <v>93</v>
      </c>
      <c r="T5" s="6" t="s">
        <v>94</v>
      </c>
      <c r="U5" s="10">
        <v>64.616756627859615</v>
      </c>
      <c r="V5" s="10">
        <v>59.679115606607731</v>
      </c>
    </row>
    <row r="6" spans="1:22" x14ac:dyDescent="0.25">
      <c r="A6" s="8">
        <v>5</v>
      </c>
      <c r="B6" s="8" t="s">
        <v>102</v>
      </c>
      <c r="C6" s="8" t="s">
        <v>44</v>
      </c>
      <c r="D6" s="8" t="s">
        <v>28</v>
      </c>
      <c r="E6" s="8" t="s">
        <v>29</v>
      </c>
      <c r="F6" s="8" t="s">
        <v>96</v>
      </c>
      <c r="G6" s="8" t="s">
        <v>97</v>
      </c>
      <c r="H6" s="8" t="s">
        <v>103</v>
      </c>
      <c r="I6" s="8" t="s">
        <v>309</v>
      </c>
      <c r="J6" s="11">
        <v>107.5333333333333</v>
      </c>
      <c r="K6" s="11">
        <v>120</v>
      </c>
      <c r="L6" s="8" t="s">
        <v>309</v>
      </c>
      <c r="M6" s="11">
        <v>141.62200313375999</v>
      </c>
      <c r="N6" s="11">
        <v>141.6711046862772</v>
      </c>
      <c r="O6" s="11">
        <v>209.59191666666669</v>
      </c>
      <c r="P6" s="11">
        <v>221.15</v>
      </c>
      <c r="Q6" s="8" t="s">
        <v>104</v>
      </c>
      <c r="R6" s="8" t="s">
        <v>105</v>
      </c>
      <c r="S6" s="8" t="s">
        <v>106</v>
      </c>
      <c r="T6" s="8" t="s">
        <v>107</v>
      </c>
      <c r="U6" s="11">
        <v>47.253841991330667</v>
      </c>
      <c r="V6" s="11">
        <v>44.821614085784937</v>
      </c>
    </row>
    <row r="7" spans="1:22" x14ac:dyDescent="0.25">
      <c r="A7" s="6">
        <v>7</v>
      </c>
      <c r="B7" s="6" t="s">
        <v>111</v>
      </c>
      <c r="C7" s="6" t="s">
        <v>44</v>
      </c>
      <c r="D7" s="6" t="s">
        <v>28</v>
      </c>
      <c r="E7" s="6" t="s">
        <v>29</v>
      </c>
      <c r="F7" s="6" t="s">
        <v>96</v>
      </c>
      <c r="G7" s="6" t="s">
        <v>97</v>
      </c>
      <c r="H7" s="6" t="s">
        <v>112</v>
      </c>
      <c r="I7" s="6" t="s">
        <v>309</v>
      </c>
      <c r="J7" s="10">
        <v>90.5</v>
      </c>
      <c r="K7" s="10">
        <v>120</v>
      </c>
      <c r="L7" s="6" t="s">
        <v>309</v>
      </c>
      <c r="M7" s="10">
        <v>146.1103622297162</v>
      </c>
      <c r="N7" s="10">
        <v>146.19417039093929</v>
      </c>
      <c r="O7" s="10">
        <v>232.89156666666659</v>
      </c>
      <c r="P7" s="10">
        <v>269.21666666666658</v>
      </c>
      <c r="Q7" s="6" t="s">
        <v>113</v>
      </c>
      <c r="R7" s="6" t="s">
        <v>114</v>
      </c>
      <c r="S7" s="6" t="s">
        <v>115</v>
      </c>
      <c r="T7" s="6" t="s">
        <v>116</v>
      </c>
      <c r="U7" s="10">
        <v>44.761538696895471</v>
      </c>
      <c r="V7" s="10">
        <v>44.849027767870119</v>
      </c>
    </row>
    <row r="8" spans="1:22" x14ac:dyDescent="0.25">
      <c r="A8" s="8">
        <v>16</v>
      </c>
      <c r="B8" s="8" t="s">
        <v>153</v>
      </c>
      <c r="C8" s="8" t="s">
        <v>44</v>
      </c>
      <c r="D8" s="8" t="s">
        <v>28</v>
      </c>
      <c r="E8" s="8" t="s">
        <v>29</v>
      </c>
      <c r="F8" s="8" t="s">
        <v>130</v>
      </c>
      <c r="G8" s="8" t="s">
        <v>131</v>
      </c>
      <c r="H8" s="8" t="s">
        <v>154</v>
      </c>
      <c r="I8" s="8" t="s">
        <v>309</v>
      </c>
      <c r="J8" s="11">
        <v>119.8666666666667</v>
      </c>
      <c r="K8" s="11">
        <v>120</v>
      </c>
      <c r="L8" s="8" t="s">
        <v>309</v>
      </c>
      <c r="M8" s="11">
        <v>152.2392917821083</v>
      </c>
      <c r="N8" s="11">
        <v>153.94759024770309</v>
      </c>
      <c r="O8" s="11">
        <v>276.10219999999998</v>
      </c>
      <c r="P8" s="11">
        <v>291.35971666666671</v>
      </c>
      <c r="Q8" s="8" t="s">
        <v>132</v>
      </c>
      <c r="R8" s="8" t="s">
        <v>155</v>
      </c>
      <c r="S8" s="8" t="s">
        <v>156</v>
      </c>
      <c r="T8" s="8" t="s">
        <v>157</v>
      </c>
      <c r="U8" s="11">
        <v>40.355745492660311</v>
      </c>
      <c r="V8" s="11">
        <v>36.021923037796739</v>
      </c>
    </row>
    <row r="9" spans="1:22" x14ac:dyDescent="0.25">
      <c r="A9" s="6">
        <v>24</v>
      </c>
      <c r="B9" s="6" t="s">
        <v>178</v>
      </c>
      <c r="C9" s="6" t="s">
        <v>44</v>
      </c>
      <c r="D9" s="6" t="s">
        <v>28</v>
      </c>
      <c r="E9" s="6" t="s">
        <v>29</v>
      </c>
      <c r="F9" s="6" t="s">
        <v>130</v>
      </c>
      <c r="G9" s="6" t="s">
        <v>137</v>
      </c>
      <c r="H9" s="6" t="s">
        <v>145</v>
      </c>
      <c r="I9" s="6" t="s">
        <v>309</v>
      </c>
      <c r="J9" s="10">
        <v>117.51666666666669</v>
      </c>
      <c r="K9" s="10">
        <v>120</v>
      </c>
      <c r="L9" s="6" t="s">
        <v>309</v>
      </c>
      <c r="M9" s="10">
        <v>125.021511754306</v>
      </c>
      <c r="N9" s="10">
        <v>123.8871365945718</v>
      </c>
      <c r="O9" s="10">
        <v>207.13586666666669</v>
      </c>
      <c r="P9" s="10">
        <v>194.5326</v>
      </c>
      <c r="Q9" s="6" t="s">
        <v>179</v>
      </c>
      <c r="R9" s="6" t="s">
        <v>143</v>
      </c>
      <c r="S9" s="6" t="s">
        <v>148</v>
      </c>
      <c r="T9" s="6" t="s">
        <v>180</v>
      </c>
      <c r="U9" s="10">
        <v>41.521588856960847</v>
      </c>
      <c r="V9" s="10">
        <v>42.835212207537772</v>
      </c>
    </row>
    <row r="10" spans="1:22" x14ac:dyDescent="0.25">
      <c r="A10" s="8">
        <v>27</v>
      </c>
      <c r="B10" s="8" t="s">
        <v>186</v>
      </c>
      <c r="C10" s="8" t="s">
        <v>44</v>
      </c>
      <c r="D10" s="8" t="s">
        <v>28</v>
      </c>
      <c r="E10" s="8" t="s">
        <v>29</v>
      </c>
      <c r="F10" s="8" t="s">
        <v>130</v>
      </c>
      <c r="G10" s="8" t="s">
        <v>154</v>
      </c>
      <c r="H10" s="8" t="s">
        <v>137</v>
      </c>
      <c r="I10" s="8" t="s">
        <v>309</v>
      </c>
      <c r="J10" s="11">
        <v>109.1666666666667</v>
      </c>
      <c r="K10" s="11">
        <v>120</v>
      </c>
      <c r="L10" s="8" t="s">
        <v>309</v>
      </c>
      <c r="M10" s="11">
        <v>138.2944646000696</v>
      </c>
      <c r="N10" s="11">
        <v>137.8693466671948</v>
      </c>
      <c r="O10" s="11">
        <v>219.90880000000001</v>
      </c>
      <c r="P10" s="11">
        <v>231.8833333333333</v>
      </c>
      <c r="Q10" s="8" t="s">
        <v>159</v>
      </c>
      <c r="R10" s="8" t="s">
        <v>187</v>
      </c>
      <c r="S10" s="8" t="s">
        <v>139</v>
      </c>
      <c r="T10" s="8" t="s">
        <v>140</v>
      </c>
      <c r="U10" s="11">
        <v>46.483728760311841</v>
      </c>
      <c r="V10" s="11">
        <v>40.286623077903108</v>
      </c>
    </row>
    <row r="11" spans="1:22" x14ac:dyDescent="0.25">
      <c r="A11" s="6">
        <v>32</v>
      </c>
      <c r="B11" s="6" t="s">
        <v>201</v>
      </c>
      <c r="C11" s="6" t="s">
        <v>44</v>
      </c>
      <c r="D11" s="6" t="s">
        <v>28</v>
      </c>
      <c r="E11" s="6" t="s">
        <v>35</v>
      </c>
      <c r="F11" s="6" t="s">
        <v>76</v>
      </c>
      <c r="G11" s="6" t="s">
        <v>145</v>
      </c>
      <c r="H11" s="6" t="s">
        <v>78</v>
      </c>
      <c r="I11" s="6" t="s">
        <v>309</v>
      </c>
      <c r="J11" s="10">
        <v>62.983333333333348</v>
      </c>
      <c r="K11" s="10">
        <v>120</v>
      </c>
      <c r="L11" s="6" t="s">
        <v>309</v>
      </c>
      <c r="M11" s="10">
        <v>324.82784685582573</v>
      </c>
      <c r="N11" s="10">
        <v>330.65385365728412</v>
      </c>
      <c r="O11" s="10">
        <v>356.12246666666658</v>
      </c>
      <c r="P11" s="10">
        <v>333.43333333333328</v>
      </c>
      <c r="Q11" s="6" t="s">
        <v>202</v>
      </c>
      <c r="R11" s="6" t="s">
        <v>203</v>
      </c>
      <c r="S11" s="6" t="s">
        <v>81</v>
      </c>
      <c r="T11" s="6" t="s">
        <v>204</v>
      </c>
      <c r="U11" s="10">
        <v>65.688581946123335</v>
      </c>
      <c r="V11" s="10">
        <v>62.887753110635487</v>
      </c>
    </row>
    <row r="12" spans="1:22" x14ac:dyDescent="0.25">
      <c r="A12" s="8">
        <v>33</v>
      </c>
      <c r="B12" s="8" t="s">
        <v>205</v>
      </c>
      <c r="C12" s="8" t="s">
        <v>44</v>
      </c>
      <c r="D12" s="8" t="s">
        <v>28</v>
      </c>
      <c r="E12" s="8" t="s">
        <v>35</v>
      </c>
      <c r="F12" s="8" t="s">
        <v>76</v>
      </c>
      <c r="G12" s="8" t="s">
        <v>145</v>
      </c>
      <c r="H12" s="8" t="s">
        <v>84</v>
      </c>
      <c r="I12" s="8" t="s">
        <v>309</v>
      </c>
      <c r="J12" s="11">
        <v>45.133333333333212</v>
      </c>
      <c r="K12" s="11">
        <v>120</v>
      </c>
      <c r="L12" s="8" t="s">
        <v>309</v>
      </c>
      <c r="M12" s="11">
        <v>320.29500345641202</v>
      </c>
      <c r="N12" s="11">
        <v>320.93023294332693</v>
      </c>
      <c r="O12" s="11">
        <v>350.05456666666669</v>
      </c>
      <c r="P12" s="11">
        <v>317.31619999999998</v>
      </c>
      <c r="Q12" s="8" t="s">
        <v>206</v>
      </c>
      <c r="R12" s="8" t="s">
        <v>207</v>
      </c>
      <c r="S12" s="8" t="s">
        <v>208</v>
      </c>
      <c r="T12" s="8" t="s">
        <v>209</v>
      </c>
      <c r="U12" s="11">
        <v>66.126659936677697</v>
      </c>
      <c r="V12" s="11">
        <v>65.883968417687953</v>
      </c>
    </row>
    <row r="13" spans="1:22" x14ac:dyDescent="0.25">
      <c r="A13" s="6">
        <v>35</v>
      </c>
      <c r="B13" s="6" t="s">
        <v>212</v>
      </c>
      <c r="C13" s="6" t="s">
        <v>44</v>
      </c>
      <c r="D13" s="6" t="s">
        <v>28</v>
      </c>
      <c r="E13" s="6" t="s">
        <v>29</v>
      </c>
      <c r="F13" s="6" t="s">
        <v>130</v>
      </c>
      <c r="G13" s="6" t="s">
        <v>154</v>
      </c>
      <c r="H13" s="6" t="s">
        <v>145</v>
      </c>
      <c r="I13" s="6" t="s">
        <v>309</v>
      </c>
      <c r="J13" s="10">
        <v>97.683333333333394</v>
      </c>
      <c r="K13" s="10">
        <v>120</v>
      </c>
      <c r="L13" s="6" t="s">
        <v>309</v>
      </c>
      <c r="M13" s="10">
        <v>125.7416693023907</v>
      </c>
      <c r="N13" s="10">
        <v>123.9823800042885</v>
      </c>
      <c r="O13" s="10">
        <v>194.9381166666667</v>
      </c>
      <c r="P13" s="10">
        <v>194.95840000000001</v>
      </c>
      <c r="Q13" s="6" t="s">
        <v>213</v>
      </c>
      <c r="R13" s="6" t="s">
        <v>160</v>
      </c>
      <c r="S13" s="6" t="s">
        <v>148</v>
      </c>
      <c r="T13" s="6" t="s">
        <v>149</v>
      </c>
      <c r="U13" s="10">
        <v>45.475102570591687</v>
      </c>
      <c r="V13" s="10">
        <v>42.768923453873597</v>
      </c>
    </row>
    <row r="14" spans="1:22" x14ac:dyDescent="0.25">
      <c r="A14" s="8">
        <v>36</v>
      </c>
      <c r="B14" s="8" t="s">
        <v>214</v>
      </c>
      <c r="C14" s="8" t="s">
        <v>44</v>
      </c>
      <c r="D14" s="8" t="s">
        <v>28</v>
      </c>
      <c r="E14" s="8" t="s">
        <v>35</v>
      </c>
      <c r="F14" s="8" t="s">
        <v>88</v>
      </c>
      <c r="G14" s="8" t="s">
        <v>84</v>
      </c>
      <c r="H14" s="8" t="s">
        <v>90</v>
      </c>
      <c r="I14" s="8" t="s">
        <v>309</v>
      </c>
      <c r="J14" s="11">
        <v>46.733333333333348</v>
      </c>
      <c r="K14" s="11">
        <v>120</v>
      </c>
      <c r="L14" s="8" t="s">
        <v>309</v>
      </c>
      <c r="M14" s="11">
        <v>326.45811266430007</v>
      </c>
      <c r="N14" s="11">
        <v>326.59061742825281</v>
      </c>
      <c r="O14" s="11">
        <v>477.62115</v>
      </c>
      <c r="P14" s="11">
        <v>368.08333333333331</v>
      </c>
      <c r="Q14" s="8" t="s">
        <v>215</v>
      </c>
      <c r="R14" s="8" t="s">
        <v>216</v>
      </c>
      <c r="S14" s="8" t="s">
        <v>208</v>
      </c>
      <c r="T14" s="8" t="s">
        <v>217</v>
      </c>
      <c r="U14" s="11">
        <v>53.205170227322412</v>
      </c>
      <c r="V14" s="11">
        <v>59.004059141794428</v>
      </c>
    </row>
    <row r="15" spans="1:22" x14ac:dyDescent="0.25">
      <c r="A15" s="6">
        <v>37</v>
      </c>
      <c r="B15" s="6" t="s">
        <v>218</v>
      </c>
      <c r="C15" s="6" t="s">
        <v>42</v>
      </c>
      <c r="D15" s="6" t="s">
        <v>28</v>
      </c>
      <c r="E15" s="6" t="s">
        <v>35</v>
      </c>
      <c r="F15" s="6" t="s">
        <v>76</v>
      </c>
      <c r="G15" s="6" t="s">
        <v>219</v>
      </c>
      <c r="H15" s="6" t="s">
        <v>84</v>
      </c>
      <c r="I15" s="6" t="s">
        <v>309</v>
      </c>
      <c r="J15" s="10">
        <v>62.533333333333303</v>
      </c>
      <c r="K15" s="10">
        <v>120</v>
      </c>
      <c r="L15" s="6" t="s">
        <v>309</v>
      </c>
      <c r="M15" s="10">
        <v>249.12684837179509</v>
      </c>
      <c r="N15" s="10">
        <v>249.90720121217629</v>
      </c>
      <c r="O15" s="10">
        <v>261.38704999999999</v>
      </c>
      <c r="P15" s="10">
        <v>244.9409666666667</v>
      </c>
      <c r="Q15" s="6" t="s">
        <v>220</v>
      </c>
      <c r="R15" s="6" t="s">
        <v>221</v>
      </c>
      <c r="S15" s="6" t="s">
        <v>85</v>
      </c>
      <c r="T15" s="6" t="s">
        <v>222</v>
      </c>
      <c r="U15" s="10">
        <v>63.843688448222949</v>
      </c>
      <c r="V15" s="10">
        <v>67.45522324597772</v>
      </c>
    </row>
    <row r="16" spans="1:22" x14ac:dyDescent="0.25">
      <c r="A16" s="8">
        <v>40</v>
      </c>
      <c r="B16" s="8" t="s">
        <v>234</v>
      </c>
      <c r="C16" s="8" t="s">
        <v>44</v>
      </c>
      <c r="D16" s="8" t="s">
        <v>28</v>
      </c>
      <c r="E16" s="8" t="s">
        <v>31</v>
      </c>
      <c r="F16" s="8" t="s">
        <v>31</v>
      </c>
      <c r="G16" s="8" t="s">
        <v>224</v>
      </c>
      <c r="H16" s="8" t="s">
        <v>235</v>
      </c>
      <c r="I16" s="8" t="s">
        <v>309</v>
      </c>
      <c r="J16" s="11">
        <v>12.93333333333339</v>
      </c>
      <c r="K16" s="11">
        <v>120</v>
      </c>
      <c r="L16" s="8" t="s">
        <v>309</v>
      </c>
      <c r="M16" s="11">
        <v>326.42355177683419</v>
      </c>
      <c r="N16" s="11">
        <v>325.95210910875733</v>
      </c>
      <c r="O16" s="11">
        <v>395</v>
      </c>
      <c r="P16" s="11">
        <v>319.50481666666673</v>
      </c>
      <c r="Q16" s="8" t="s">
        <v>225</v>
      </c>
      <c r="R16" s="8" t="s">
        <v>226</v>
      </c>
      <c r="S16" s="8" t="s">
        <v>236</v>
      </c>
      <c r="T16" s="8" t="s">
        <v>237</v>
      </c>
      <c r="U16" s="11">
        <v>61.329177126178159</v>
      </c>
      <c r="V16" s="11">
        <v>62.637050944032119</v>
      </c>
    </row>
    <row r="17" spans="1:22" x14ac:dyDescent="0.25">
      <c r="A17" s="6">
        <v>41</v>
      </c>
      <c r="B17" s="6" t="s">
        <v>238</v>
      </c>
      <c r="C17" s="6" t="s">
        <v>44</v>
      </c>
      <c r="D17" s="6" t="s">
        <v>28</v>
      </c>
      <c r="E17" s="6" t="s">
        <v>31</v>
      </c>
      <c r="F17" s="6" t="s">
        <v>31</v>
      </c>
      <c r="G17" s="6" t="s">
        <v>235</v>
      </c>
      <c r="H17" s="6" t="s">
        <v>224</v>
      </c>
      <c r="I17" s="6" t="s">
        <v>309</v>
      </c>
      <c r="J17" s="10">
        <v>14.06666666666683</v>
      </c>
      <c r="K17" s="10">
        <v>120</v>
      </c>
      <c r="L17" s="6" t="s">
        <v>309</v>
      </c>
      <c r="M17" s="10">
        <v>325.44929939593982</v>
      </c>
      <c r="N17" s="10">
        <v>325.19747839743411</v>
      </c>
      <c r="O17" s="10">
        <v>353.84784999999999</v>
      </c>
      <c r="P17" s="10">
        <v>372.55040000000002</v>
      </c>
      <c r="Q17" s="6" t="s">
        <v>239</v>
      </c>
      <c r="R17" s="6" t="s">
        <v>240</v>
      </c>
      <c r="S17" s="6" t="s">
        <v>227</v>
      </c>
      <c r="T17" s="6" t="s">
        <v>241</v>
      </c>
      <c r="U17" s="10">
        <v>67.12149214202077</v>
      </c>
      <c r="V17" s="10">
        <v>59.843107131271857</v>
      </c>
    </row>
    <row r="18" spans="1:22" x14ac:dyDescent="0.25">
      <c r="A18" s="8">
        <v>45</v>
      </c>
      <c r="B18" s="8" t="s">
        <v>259</v>
      </c>
      <c r="C18" s="8" t="s">
        <v>44</v>
      </c>
      <c r="D18" s="8" t="s">
        <v>28</v>
      </c>
      <c r="E18" s="8" t="s">
        <v>33</v>
      </c>
      <c r="F18" s="8" t="s">
        <v>33</v>
      </c>
      <c r="G18" s="8" t="s">
        <v>243</v>
      </c>
      <c r="H18" s="8" t="s">
        <v>260</v>
      </c>
      <c r="I18" s="8" t="s">
        <v>309</v>
      </c>
      <c r="J18" s="11">
        <v>40.483333333333348</v>
      </c>
      <c r="K18" s="11">
        <v>120</v>
      </c>
      <c r="L18" s="8" t="s">
        <v>309</v>
      </c>
      <c r="M18" s="11">
        <v>322.27359408346013</v>
      </c>
      <c r="N18" s="11">
        <v>322.64698261892221</v>
      </c>
      <c r="O18" s="11">
        <v>446.45</v>
      </c>
      <c r="P18" s="11">
        <v>349.42598333333342</v>
      </c>
      <c r="Q18" s="8" t="s">
        <v>250</v>
      </c>
      <c r="R18" s="8" t="s">
        <v>251</v>
      </c>
      <c r="S18" s="8" t="s">
        <v>261</v>
      </c>
      <c r="T18" s="8" t="s">
        <v>262</v>
      </c>
      <c r="U18" s="11">
        <v>64.459443162404568</v>
      </c>
      <c r="V18" s="11">
        <v>59.875837357006112</v>
      </c>
    </row>
    <row r="19" spans="1:22" x14ac:dyDescent="0.25">
      <c r="A19" s="6">
        <v>46</v>
      </c>
      <c r="B19" s="6" t="s">
        <v>263</v>
      </c>
      <c r="C19" s="6" t="s">
        <v>44</v>
      </c>
      <c r="D19" s="6" t="s">
        <v>28</v>
      </c>
      <c r="E19" s="6" t="s">
        <v>33</v>
      </c>
      <c r="F19" s="6" t="s">
        <v>33</v>
      </c>
      <c r="G19" s="6" t="s">
        <v>260</v>
      </c>
      <c r="H19" s="6" t="s">
        <v>243</v>
      </c>
      <c r="I19" s="6" t="s">
        <v>309</v>
      </c>
      <c r="J19" s="10">
        <v>50.233333333333348</v>
      </c>
      <c r="K19" s="10">
        <v>120</v>
      </c>
      <c r="L19" s="6" t="s">
        <v>309</v>
      </c>
      <c r="M19" s="10">
        <v>324.93502838087829</v>
      </c>
      <c r="N19" s="10">
        <v>325.72634804024972</v>
      </c>
      <c r="O19" s="10">
        <v>394.6350333333333</v>
      </c>
      <c r="P19" s="10">
        <v>329.75</v>
      </c>
      <c r="Q19" s="6" t="s">
        <v>264</v>
      </c>
      <c r="R19" s="6" t="s">
        <v>265</v>
      </c>
      <c r="S19" s="6" t="s">
        <v>246</v>
      </c>
      <c r="T19" s="6" t="s">
        <v>258</v>
      </c>
      <c r="U19" s="10">
        <v>64.174151856789692</v>
      </c>
      <c r="V19" s="10">
        <v>63.702556250659107</v>
      </c>
    </row>
    <row r="22" spans="1:22" ht="27.95" customHeight="1" x14ac:dyDescent="0.25">
      <c r="A22" s="55" t="s">
        <v>323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22" ht="3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5" spans="1:22" ht="30" x14ac:dyDescent="0.25">
      <c r="A25" s="9" t="s">
        <v>59</v>
      </c>
      <c r="B25" s="9" t="s">
        <v>60</v>
      </c>
      <c r="C25" s="9" t="s">
        <v>292</v>
      </c>
      <c r="D25" s="9" t="s">
        <v>24</v>
      </c>
      <c r="E25" s="9" t="s">
        <v>61</v>
      </c>
      <c r="F25" s="9" t="s">
        <v>62</v>
      </c>
      <c r="G25" s="9" t="s">
        <v>293</v>
      </c>
      <c r="H25" s="9" t="s">
        <v>294</v>
      </c>
      <c r="I25" s="9" t="s">
        <v>295</v>
      </c>
      <c r="J25" s="9" t="s">
        <v>296</v>
      </c>
      <c r="K25" s="9" t="s">
        <v>297</v>
      </c>
      <c r="L25" s="9" t="s">
        <v>298</v>
      </c>
      <c r="M25" s="9" t="s">
        <v>299</v>
      </c>
    </row>
    <row r="26" spans="1:22" x14ac:dyDescent="0.25">
      <c r="A26" s="6">
        <v>3</v>
      </c>
      <c r="B26" s="6" t="s">
        <v>87</v>
      </c>
      <c r="C26" s="6" t="s">
        <v>300</v>
      </c>
      <c r="D26" s="6" t="s">
        <v>28</v>
      </c>
      <c r="E26" s="6" t="s">
        <v>35</v>
      </c>
      <c r="F26" s="6" t="s">
        <v>88</v>
      </c>
      <c r="G26" s="10">
        <v>38.333333333333343</v>
      </c>
      <c r="H26" s="10">
        <v>10.56666666666667</v>
      </c>
      <c r="I26" s="10">
        <v>0</v>
      </c>
      <c r="J26" s="10">
        <v>0.66666666666666663</v>
      </c>
      <c r="K26" s="10">
        <v>49.31666666666667</v>
      </c>
      <c r="L26" s="10">
        <v>44.583333333333343</v>
      </c>
      <c r="M26" s="10">
        <v>202.15</v>
      </c>
    </row>
    <row r="27" spans="1:22" x14ac:dyDescent="0.25">
      <c r="A27" s="8">
        <v>3</v>
      </c>
      <c r="B27" s="8" t="s">
        <v>87</v>
      </c>
      <c r="C27" s="8" t="s">
        <v>301</v>
      </c>
      <c r="D27" s="8" t="s">
        <v>28</v>
      </c>
      <c r="E27" s="8" t="s">
        <v>35</v>
      </c>
      <c r="F27" s="8" t="s">
        <v>88</v>
      </c>
      <c r="G27" s="11">
        <v>0</v>
      </c>
      <c r="H27" s="11">
        <v>35.983333333333327</v>
      </c>
      <c r="I27" s="11">
        <v>0.35</v>
      </c>
      <c r="J27" s="11">
        <v>4.083333333333333</v>
      </c>
      <c r="K27" s="11">
        <v>62.087049999999998</v>
      </c>
      <c r="L27" s="11">
        <v>50.533333333333331</v>
      </c>
      <c r="M27" s="11">
        <v>205.36038333333329</v>
      </c>
    </row>
    <row r="28" spans="1:22" x14ac:dyDescent="0.25">
      <c r="A28" s="6">
        <v>5</v>
      </c>
      <c r="B28" s="6" t="s">
        <v>102</v>
      </c>
      <c r="C28" s="6" t="s">
        <v>300</v>
      </c>
      <c r="D28" s="6" t="s">
        <v>28</v>
      </c>
      <c r="E28" s="6" t="s">
        <v>29</v>
      </c>
      <c r="F28" s="6" t="s">
        <v>96</v>
      </c>
      <c r="G28" s="10">
        <v>0</v>
      </c>
      <c r="H28" s="10">
        <v>25.883333333333329</v>
      </c>
      <c r="I28" s="10">
        <v>4.9333333333333336</v>
      </c>
      <c r="J28" s="10">
        <v>5.9333333333333336</v>
      </c>
      <c r="K28" s="10">
        <v>52.333333333333343</v>
      </c>
      <c r="L28" s="10">
        <v>37.574966666666668</v>
      </c>
      <c r="M28" s="10">
        <v>82.933616666666666</v>
      </c>
    </row>
    <row r="29" spans="1:22" x14ac:dyDescent="0.25">
      <c r="A29" s="8">
        <v>5</v>
      </c>
      <c r="B29" s="8" t="s">
        <v>102</v>
      </c>
      <c r="C29" s="8" t="s">
        <v>301</v>
      </c>
      <c r="D29" s="8" t="s">
        <v>28</v>
      </c>
      <c r="E29" s="8" t="s">
        <v>29</v>
      </c>
      <c r="F29" s="8" t="s">
        <v>96</v>
      </c>
      <c r="G29" s="11">
        <v>0</v>
      </c>
      <c r="H29" s="11">
        <v>31.8</v>
      </c>
      <c r="I29" s="11">
        <v>0</v>
      </c>
      <c r="J29" s="11">
        <v>1.5</v>
      </c>
      <c r="K29" s="11">
        <v>30.466666666666669</v>
      </c>
      <c r="L29" s="11">
        <v>23</v>
      </c>
      <c r="M29" s="11">
        <v>134.3833333333333</v>
      </c>
    </row>
    <row r="30" spans="1:22" x14ac:dyDescent="0.25">
      <c r="A30" s="6">
        <v>7</v>
      </c>
      <c r="B30" s="6" t="s">
        <v>111</v>
      </c>
      <c r="C30" s="6" t="s">
        <v>300</v>
      </c>
      <c r="D30" s="6" t="s">
        <v>28</v>
      </c>
      <c r="E30" s="6" t="s">
        <v>29</v>
      </c>
      <c r="F30" s="6" t="s">
        <v>96</v>
      </c>
      <c r="G30" s="10">
        <v>0</v>
      </c>
      <c r="H30" s="10">
        <v>29.40441666666667</v>
      </c>
      <c r="I30" s="10">
        <v>9.2371500000000015</v>
      </c>
      <c r="J30" s="10">
        <v>8.0166666666666675</v>
      </c>
      <c r="K30" s="10">
        <v>55.05</v>
      </c>
      <c r="L30" s="10">
        <v>38.85</v>
      </c>
      <c r="M30" s="10">
        <v>92.333333333333329</v>
      </c>
    </row>
    <row r="31" spans="1:22" x14ac:dyDescent="0.25">
      <c r="A31" s="8">
        <v>7</v>
      </c>
      <c r="B31" s="8" t="s">
        <v>111</v>
      </c>
      <c r="C31" s="8" t="s">
        <v>301</v>
      </c>
      <c r="D31" s="8" t="s">
        <v>28</v>
      </c>
      <c r="E31" s="8" t="s">
        <v>29</v>
      </c>
      <c r="F31" s="8" t="s">
        <v>96</v>
      </c>
      <c r="G31" s="11">
        <v>0</v>
      </c>
      <c r="H31" s="11">
        <v>71.083333333333329</v>
      </c>
      <c r="I31" s="11">
        <v>4.05</v>
      </c>
      <c r="J31" s="11">
        <v>11.6</v>
      </c>
      <c r="K31" s="11">
        <v>38.68333333333333</v>
      </c>
      <c r="L31" s="11">
        <v>26.81666666666667</v>
      </c>
      <c r="M31" s="11">
        <v>116.98333333333331</v>
      </c>
    </row>
    <row r="32" spans="1:22" x14ac:dyDescent="0.25">
      <c r="A32" s="6">
        <v>16</v>
      </c>
      <c r="B32" s="6" t="s">
        <v>153</v>
      </c>
      <c r="C32" s="6" t="s">
        <v>300</v>
      </c>
      <c r="D32" s="6" t="s">
        <v>28</v>
      </c>
      <c r="E32" s="6" t="s">
        <v>29</v>
      </c>
      <c r="F32" s="6" t="s">
        <v>130</v>
      </c>
      <c r="G32" s="10">
        <v>0</v>
      </c>
      <c r="H32" s="10">
        <v>43.485533333333343</v>
      </c>
      <c r="I32" s="10">
        <v>9.5500000000000007</v>
      </c>
      <c r="J32" s="10">
        <v>6.7833333333333332</v>
      </c>
      <c r="K32" s="10">
        <v>55.4</v>
      </c>
      <c r="L32" s="10">
        <v>40.216666666666669</v>
      </c>
      <c r="M32" s="10">
        <v>120.6666666666667</v>
      </c>
    </row>
    <row r="33" spans="1:13" x14ac:dyDescent="0.25">
      <c r="A33" s="8">
        <v>16</v>
      </c>
      <c r="B33" s="8" t="s">
        <v>153</v>
      </c>
      <c r="C33" s="8" t="s">
        <v>301</v>
      </c>
      <c r="D33" s="8" t="s">
        <v>28</v>
      </c>
      <c r="E33" s="8" t="s">
        <v>29</v>
      </c>
      <c r="F33" s="8" t="s">
        <v>130</v>
      </c>
      <c r="G33" s="11">
        <v>0</v>
      </c>
      <c r="H33" s="11">
        <v>26.333333333333329</v>
      </c>
      <c r="I33" s="11">
        <v>10.016666666666669</v>
      </c>
      <c r="J33" s="11">
        <v>14.483333333333331</v>
      </c>
      <c r="K33" s="11">
        <v>52.6</v>
      </c>
      <c r="L33" s="11">
        <v>41.9</v>
      </c>
      <c r="M33" s="11">
        <v>146.02638333333331</v>
      </c>
    </row>
    <row r="34" spans="1:13" x14ac:dyDescent="0.25">
      <c r="A34" s="6">
        <v>24</v>
      </c>
      <c r="B34" s="6" t="s">
        <v>178</v>
      </c>
      <c r="C34" s="6" t="s">
        <v>300</v>
      </c>
      <c r="D34" s="6" t="s">
        <v>28</v>
      </c>
      <c r="E34" s="6" t="s">
        <v>29</v>
      </c>
      <c r="F34" s="6" t="s">
        <v>130</v>
      </c>
      <c r="G34" s="10">
        <v>0</v>
      </c>
      <c r="H34" s="10">
        <v>26.583333333333329</v>
      </c>
      <c r="I34" s="10">
        <v>1.261883333333333</v>
      </c>
      <c r="J34" s="10">
        <v>5.35</v>
      </c>
      <c r="K34" s="10">
        <v>50.083333333333343</v>
      </c>
      <c r="L34" s="10">
        <v>38.023983333333327</v>
      </c>
      <c r="M34" s="10">
        <v>85.833333333333329</v>
      </c>
    </row>
    <row r="35" spans="1:13" x14ac:dyDescent="0.25">
      <c r="A35" s="8">
        <v>24</v>
      </c>
      <c r="B35" s="8" t="s">
        <v>178</v>
      </c>
      <c r="C35" s="8" t="s">
        <v>301</v>
      </c>
      <c r="D35" s="8" t="s">
        <v>28</v>
      </c>
      <c r="E35" s="8" t="s">
        <v>29</v>
      </c>
      <c r="F35" s="8" t="s">
        <v>130</v>
      </c>
      <c r="G35" s="11">
        <v>0</v>
      </c>
      <c r="H35" s="11">
        <v>21.383333333333329</v>
      </c>
      <c r="I35" s="11">
        <v>1</v>
      </c>
      <c r="J35" s="11">
        <v>0</v>
      </c>
      <c r="K35" s="11">
        <v>39.18333333333333</v>
      </c>
      <c r="L35" s="11">
        <v>30.466666666666669</v>
      </c>
      <c r="M35" s="11">
        <v>102.4992666666667</v>
      </c>
    </row>
    <row r="36" spans="1:13" x14ac:dyDescent="0.25">
      <c r="A36" s="6">
        <v>27</v>
      </c>
      <c r="B36" s="6" t="s">
        <v>186</v>
      </c>
      <c r="C36" s="6" t="s">
        <v>300</v>
      </c>
      <c r="D36" s="6" t="s">
        <v>28</v>
      </c>
      <c r="E36" s="6" t="s">
        <v>29</v>
      </c>
      <c r="F36" s="6" t="s">
        <v>130</v>
      </c>
      <c r="G36" s="10">
        <v>0</v>
      </c>
      <c r="H36" s="10">
        <v>31.033333333333331</v>
      </c>
      <c r="I36" s="10">
        <v>10.96666666666667</v>
      </c>
      <c r="J36" s="10">
        <v>2.9333333333333331</v>
      </c>
      <c r="K36" s="10">
        <v>62.68333333333333</v>
      </c>
      <c r="L36" s="10">
        <v>46.940983333333328</v>
      </c>
      <c r="M36" s="10">
        <v>65.351150000000004</v>
      </c>
    </row>
    <row r="37" spans="1:13" x14ac:dyDescent="0.25">
      <c r="A37" s="8">
        <v>27</v>
      </c>
      <c r="B37" s="8" t="s">
        <v>186</v>
      </c>
      <c r="C37" s="8" t="s">
        <v>301</v>
      </c>
      <c r="D37" s="8" t="s">
        <v>28</v>
      </c>
      <c r="E37" s="8" t="s">
        <v>29</v>
      </c>
      <c r="F37" s="8" t="s">
        <v>130</v>
      </c>
      <c r="G37" s="11">
        <v>0</v>
      </c>
      <c r="H37" s="11">
        <v>23.716666666666669</v>
      </c>
      <c r="I37" s="11">
        <v>4.4333333333333336</v>
      </c>
      <c r="J37" s="11">
        <v>9.5500000000000007</v>
      </c>
      <c r="K37" s="11">
        <v>50.65</v>
      </c>
      <c r="L37" s="11">
        <v>34.233333333333327</v>
      </c>
      <c r="M37" s="11">
        <v>109.3</v>
      </c>
    </row>
    <row r="38" spans="1:13" x14ac:dyDescent="0.25">
      <c r="A38" s="6">
        <v>32</v>
      </c>
      <c r="B38" s="6" t="s">
        <v>201</v>
      </c>
      <c r="C38" s="6" t="s">
        <v>300</v>
      </c>
      <c r="D38" s="6" t="s">
        <v>28</v>
      </c>
      <c r="E38" s="6" t="s">
        <v>35</v>
      </c>
      <c r="F38" s="6" t="s">
        <v>76</v>
      </c>
      <c r="G38" s="10">
        <v>23.4</v>
      </c>
      <c r="H38" s="10">
        <v>37.616666666666667</v>
      </c>
      <c r="I38" s="10">
        <v>0</v>
      </c>
      <c r="J38" s="10">
        <v>0.58333333333333337</v>
      </c>
      <c r="K38" s="10">
        <v>58.389133333333326</v>
      </c>
      <c r="L38" s="10">
        <v>47.783333333333331</v>
      </c>
      <c r="M38" s="10">
        <v>188.35</v>
      </c>
    </row>
    <row r="39" spans="1:13" x14ac:dyDescent="0.25">
      <c r="A39" s="8">
        <v>32</v>
      </c>
      <c r="B39" s="8" t="s">
        <v>201</v>
      </c>
      <c r="C39" s="8" t="s">
        <v>301</v>
      </c>
      <c r="D39" s="8" t="s">
        <v>28</v>
      </c>
      <c r="E39" s="8" t="s">
        <v>35</v>
      </c>
      <c r="F39" s="8" t="s">
        <v>76</v>
      </c>
      <c r="G39" s="11">
        <v>0</v>
      </c>
      <c r="H39" s="11">
        <v>18.100000000000001</v>
      </c>
      <c r="I39" s="11">
        <v>6.6666666666666666E-2</v>
      </c>
      <c r="J39" s="11">
        <v>1.75</v>
      </c>
      <c r="K39" s="11">
        <v>61.95</v>
      </c>
      <c r="L39" s="11">
        <v>44.95</v>
      </c>
      <c r="M39" s="11">
        <v>206.6166666666667</v>
      </c>
    </row>
    <row r="40" spans="1:13" x14ac:dyDescent="0.25">
      <c r="A40" s="6">
        <v>33</v>
      </c>
      <c r="B40" s="6" t="s">
        <v>205</v>
      </c>
      <c r="C40" s="6" t="s">
        <v>300</v>
      </c>
      <c r="D40" s="6" t="s">
        <v>28</v>
      </c>
      <c r="E40" s="6" t="s">
        <v>35</v>
      </c>
      <c r="F40" s="6" t="s">
        <v>76</v>
      </c>
      <c r="G40" s="10">
        <v>23.4</v>
      </c>
      <c r="H40" s="10">
        <v>37.616666666666667</v>
      </c>
      <c r="I40" s="10">
        <v>0</v>
      </c>
      <c r="J40" s="10">
        <v>0.58333333333333337</v>
      </c>
      <c r="K40" s="10">
        <v>56.670316666666658</v>
      </c>
      <c r="L40" s="10">
        <v>46.800916666666673</v>
      </c>
      <c r="M40" s="10">
        <v>184.98333333333329</v>
      </c>
    </row>
    <row r="41" spans="1:13" x14ac:dyDescent="0.25">
      <c r="A41" s="8">
        <v>33</v>
      </c>
      <c r="B41" s="8" t="s">
        <v>205</v>
      </c>
      <c r="C41" s="8" t="s">
        <v>301</v>
      </c>
      <c r="D41" s="8" t="s">
        <v>28</v>
      </c>
      <c r="E41" s="8" t="s">
        <v>35</v>
      </c>
      <c r="F41" s="8" t="s">
        <v>76</v>
      </c>
      <c r="G41" s="11">
        <v>0</v>
      </c>
      <c r="H41" s="11">
        <v>16.43333333333333</v>
      </c>
      <c r="I41" s="11">
        <v>8.7333333333333325</v>
      </c>
      <c r="J41" s="11">
        <v>5.083333333333333</v>
      </c>
      <c r="K41" s="11">
        <v>63.81666666666667</v>
      </c>
      <c r="L41" s="11">
        <v>46.866666666666667</v>
      </c>
      <c r="M41" s="11">
        <v>176.3828666666667</v>
      </c>
    </row>
    <row r="42" spans="1:13" x14ac:dyDescent="0.25">
      <c r="A42" s="6">
        <v>35</v>
      </c>
      <c r="B42" s="6" t="s">
        <v>212</v>
      </c>
      <c r="C42" s="6" t="s">
        <v>300</v>
      </c>
      <c r="D42" s="6" t="s">
        <v>28</v>
      </c>
      <c r="E42" s="6" t="s">
        <v>29</v>
      </c>
      <c r="F42" s="6" t="s">
        <v>130</v>
      </c>
      <c r="G42" s="10">
        <v>0</v>
      </c>
      <c r="H42" s="10">
        <v>20.65</v>
      </c>
      <c r="I42" s="10">
        <v>8.668333333333333</v>
      </c>
      <c r="J42" s="10">
        <v>2.9833333333333329</v>
      </c>
      <c r="K42" s="10">
        <v>56.783333333333331</v>
      </c>
      <c r="L42" s="10">
        <v>43.369783333333331</v>
      </c>
      <c r="M42" s="10">
        <v>62.483333333333327</v>
      </c>
    </row>
    <row r="43" spans="1:13" x14ac:dyDescent="0.25">
      <c r="A43" s="8">
        <v>35</v>
      </c>
      <c r="B43" s="8" t="s">
        <v>212</v>
      </c>
      <c r="C43" s="8" t="s">
        <v>301</v>
      </c>
      <c r="D43" s="8" t="s">
        <v>28</v>
      </c>
      <c r="E43" s="8" t="s">
        <v>29</v>
      </c>
      <c r="F43" s="8" t="s">
        <v>130</v>
      </c>
      <c r="G43" s="11">
        <v>0</v>
      </c>
      <c r="H43" s="11">
        <v>21.383333333333329</v>
      </c>
      <c r="I43" s="11">
        <v>1</v>
      </c>
      <c r="J43" s="11">
        <v>0</v>
      </c>
      <c r="K43" s="11">
        <v>39.18333333333333</v>
      </c>
      <c r="L43" s="11">
        <v>30.466666666666669</v>
      </c>
      <c r="M43" s="11">
        <v>102.92506666666669</v>
      </c>
    </row>
    <row r="44" spans="1:13" x14ac:dyDescent="0.25">
      <c r="A44" s="6">
        <v>36</v>
      </c>
      <c r="B44" s="6" t="s">
        <v>214</v>
      </c>
      <c r="C44" s="6" t="s">
        <v>300</v>
      </c>
      <c r="D44" s="6" t="s">
        <v>28</v>
      </c>
      <c r="E44" s="6" t="s">
        <v>35</v>
      </c>
      <c r="F44" s="6" t="s">
        <v>88</v>
      </c>
      <c r="G44" s="10">
        <v>40.299999999999997</v>
      </c>
      <c r="H44" s="10">
        <v>46.846666666666671</v>
      </c>
      <c r="I44" s="10">
        <v>23.25</v>
      </c>
      <c r="J44" s="10">
        <v>14.68333333333333</v>
      </c>
      <c r="K44" s="10">
        <v>52.483333333333327</v>
      </c>
      <c r="L44" s="10">
        <v>45.116666666666667</v>
      </c>
      <c r="M44" s="10">
        <v>254.94114999999999</v>
      </c>
    </row>
    <row r="45" spans="1:13" x14ac:dyDescent="0.25">
      <c r="A45" s="8">
        <v>36</v>
      </c>
      <c r="B45" s="8" t="s">
        <v>214</v>
      </c>
      <c r="C45" s="8" t="s">
        <v>301</v>
      </c>
      <c r="D45" s="8" t="s">
        <v>28</v>
      </c>
      <c r="E45" s="8" t="s">
        <v>35</v>
      </c>
      <c r="F45" s="8" t="s">
        <v>88</v>
      </c>
      <c r="G45" s="11">
        <v>0</v>
      </c>
      <c r="H45" s="11">
        <v>35.983333333333327</v>
      </c>
      <c r="I45" s="11">
        <v>0.35</v>
      </c>
      <c r="J45" s="11">
        <v>4.166666666666667</v>
      </c>
      <c r="K45" s="11">
        <v>65.36666666666666</v>
      </c>
      <c r="L45" s="11">
        <v>52.466666666666669</v>
      </c>
      <c r="M45" s="11">
        <v>209.75</v>
      </c>
    </row>
    <row r="46" spans="1:13" x14ac:dyDescent="0.25">
      <c r="A46" s="6">
        <v>37</v>
      </c>
      <c r="B46" s="6" t="s">
        <v>218</v>
      </c>
      <c r="C46" s="6" t="s">
        <v>300</v>
      </c>
      <c r="D46" s="6" t="s">
        <v>28</v>
      </c>
      <c r="E46" s="6" t="s">
        <v>35</v>
      </c>
      <c r="F46" s="6" t="s">
        <v>76</v>
      </c>
      <c r="G46" s="10">
        <v>20.983333333333331</v>
      </c>
      <c r="H46" s="10">
        <v>3.666666666666667</v>
      </c>
      <c r="I46" s="10">
        <v>3.0333333333333332</v>
      </c>
      <c r="J46" s="10">
        <v>7.2833333333333332</v>
      </c>
      <c r="K46" s="10">
        <v>33.003716666666669</v>
      </c>
      <c r="L46" s="10">
        <v>29.65</v>
      </c>
      <c r="M46" s="10">
        <v>163.76666666666671</v>
      </c>
    </row>
    <row r="47" spans="1:13" x14ac:dyDescent="0.25">
      <c r="A47" s="8">
        <v>37</v>
      </c>
      <c r="B47" s="8" t="s">
        <v>218</v>
      </c>
      <c r="C47" s="8" t="s">
        <v>301</v>
      </c>
      <c r="D47" s="8" t="s">
        <v>28</v>
      </c>
      <c r="E47" s="8" t="s">
        <v>35</v>
      </c>
      <c r="F47" s="8" t="s">
        <v>76</v>
      </c>
      <c r="G47" s="11">
        <v>0</v>
      </c>
      <c r="H47" s="11">
        <v>16.43333333333333</v>
      </c>
      <c r="I47" s="11">
        <v>6.3166666666666664</v>
      </c>
      <c r="J47" s="11">
        <v>5</v>
      </c>
      <c r="K47" s="11">
        <v>46.8</v>
      </c>
      <c r="L47" s="11">
        <v>33.416666666666657</v>
      </c>
      <c r="M47" s="11">
        <v>136.9743</v>
      </c>
    </row>
    <row r="48" spans="1:13" x14ac:dyDescent="0.25">
      <c r="A48" s="6">
        <v>40</v>
      </c>
      <c r="B48" s="6" t="s">
        <v>234</v>
      </c>
      <c r="C48" s="6" t="s">
        <v>300</v>
      </c>
      <c r="D48" s="6" t="s">
        <v>28</v>
      </c>
      <c r="E48" s="6" t="s">
        <v>31</v>
      </c>
      <c r="F48" s="6" t="s">
        <v>31</v>
      </c>
      <c r="G48" s="10">
        <v>50.366666666666667</v>
      </c>
      <c r="H48" s="10">
        <v>8.3666666666666671</v>
      </c>
      <c r="I48" s="10">
        <v>17.350000000000001</v>
      </c>
      <c r="J48" s="10">
        <v>4.75</v>
      </c>
      <c r="K48" s="10">
        <v>75.683333333333337</v>
      </c>
      <c r="L48" s="10">
        <v>57.18333333333333</v>
      </c>
      <c r="M48" s="10">
        <v>181.3</v>
      </c>
    </row>
    <row r="49" spans="1:13" x14ac:dyDescent="0.25">
      <c r="A49" s="8">
        <v>40</v>
      </c>
      <c r="B49" s="8" t="s">
        <v>234</v>
      </c>
      <c r="C49" s="8" t="s">
        <v>301</v>
      </c>
      <c r="D49" s="8" t="s">
        <v>28</v>
      </c>
      <c r="E49" s="8" t="s">
        <v>31</v>
      </c>
      <c r="F49" s="8" t="s">
        <v>31</v>
      </c>
      <c r="G49" s="11">
        <v>0</v>
      </c>
      <c r="H49" s="11">
        <v>3.0166666666666671</v>
      </c>
      <c r="I49" s="11">
        <v>4.3</v>
      </c>
      <c r="J49" s="11">
        <v>1.8833333333333331</v>
      </c>
      <c r="K49" s="11">
        <v>49.166666666666657</v>
      </c>
      <c r="L49" s="11">
        <v>35.333333333333343</v>
      </c>
      <c r="M49" s="11">
        <v>225.80481666666671</v>
      </c>
    </row>
    <row r="50" spans="1:13" x14ac:dyDescent="0.25">
      <c r="A50" s="6">
        <v>41</v>
      </c>
      <c r="B50" s="6" t="s">
        <v>238</v>
      </c>
      <c r="C50" s="6" t="s">
        <v>300</v>
      </c>
      <c r="D50" s="6" t="s">
        <v>28</v>
      </c>
      <c r="E50" s="6" t="s">
        <v>31</v>
      </c>
      <c r="F50" s="6" t="s">
        <v>31</v>
      </c>
      <c r="G50" s="10">
        <v>44.68333333333333</v>
      </c>
      <c r="H50" s="10">
        <v>6.6833333333333336</v>
      </c>
      <c r="I50" s="10">
        <v>11.75</v>
      </c>
      <c r="J50" s="10">
        <v>2.0166666666666671</v>
      </c>
      <c r="K50" s="10">
        <v>64.3</v>
      </c>
      <c r="L50" s="10">
        <v>51.866666666666667</v>
      </c>
      <c r="M50" s="10">
        <v>172.54785000000001</v>
      </c>
    </row>
    <row r="51" spans="1:13" x14ac:dyDescent="0.25">
      <c r="A51" s="8">
        <v>41</v>
      </c>
      <c r="B51" s="8" t="s">
        <v>238</v>
      </c>
      <c r="C51" s="8" t="s">
        <v>301</v>
      </c>
      <c r="D51" s="8" t="s">
        <v>28</v>
      </c>
      <c r="E51" s="8" t="s">
        <v>31</v>
      </c>
      <c r="F51" s="8" t="s">
        <v>31</v>
      </c>
      <c r="G51" s="11">
        <v>0</v>
      </c>
      <c r="H51" s="11">
        <v>42.65</v>
      </c>
      <c r="I51" s="11">
        <v>4.45</v>
      </c>
      <c r="J51" s="11">
        <v>12.016666666666669</v>
      </c>
      <c r="K51" s="11">
        <v>56.916666666666657</v>
      </c>
      <c r="L51" s="11">
        <v>49.017066666666658</v>
      </c>
      <c r="M51" s="11">
        <v>207.5</v>
      </c>
    </row>
    <row r="52" spans="1:13" x14ac:dyDescent="0.25">
      <c r="A52" s="6">
        <v>45</v>
      </c>
      <c r="B52" s="6" t="s">
        <v>259</v>
      </c>
      <c r="C52" s="6" t="s">
        <v>300</v>
      </c>
      <c r="D52" s="6" t="s">
        <v>28</v>
      </c>
      <c r="E52" s="6" t="s">
        <v>33</v>
      </c>
      <c r="F52" s="6" t="s">
        <v>33</v>
      </c>
      <c r="G52" s="10">
        <v>63.2</v>
      </c>
      <c r="H52" s="10">
        <v>51.31666666666667</v>
      </c>
      <c r="I52" s="10">
        <v>32.283333333333331</v>
      </c>
      <c r="J52" s="10">
        <v>7.7166666666666668</v>
      </c>
      <c r="K52" s="10">
        <v>69.400000000000006</v>
      </c>
      <c r="L52" s="10">
        <v>57.93333333333333</v>
      </c>
      <c r="M52" s="10">
        <v>164.6</v>
      </c>
    </row>
    <row r="53" spans="1:13" x14ac:dyDescent="0.25">
      <c r="A53" s="8">
        <v>45</v>
      </c>
      <c r="B53" s="8" t="s">
        <v>259</v>
      </c>
      <c r="C53" s="8" t="s">
        <v>301</v>
      </c>
      <c r="D53" s="8" t="s">
        <v>28</v>
      </c>
      <c r="E53" s="8" t="s">
        <v>33</v>
      </c>
      <c r="F53" s="8" t="s">
        <v>33</v>
      </c>
      <c r="G53" s="11">
        <v>0</v>
      </c>
      <c r="H53" s="11">
        <v>24.31666666666667</v>
      </c>
      <c r="I53" s="11">
        <v>2.666666666666667</v>
      </c>
      <c r="J53" s="11">
        <v>5.6833333333333336</v>
      </c>
      <c r="K53" s="11">
        <v>44.133333333333333</v>
      </c>
      <c r="L53" s="11">
        <v>32.116666666666667</v>
      </c>
      <c r="M53" s="11">
        <v>240.50931666666659</v>
      </c>
    </row>
    <row r="54" spans="1:13" x14ac:dyDescent="0.25">
      <c r="A54" s="6">
        <v>46</v>
      </c>
      <c r="B54" s="6" t="s">
        <v>263</v>
      </c>
      <c r="C54" s="6" t="s">
        <v>300</v>
      </c>
      <c r="D54" s="6" t="s">
        <v>28</v>
      </c>
      <c r="E54" s="6" t="s">
        <v>33</v>
      </c>
      <c r="F54" s="6" t="s">
        <v>33</v>
      </c>
      <c r="G54" s="10">
        <v>34.833333333333343</v>
      </c>
      <c r="H54" s="10">
        <v>37.450000000000003</v>
      </c>
      <c r="I54" s="10">
        <v>18.850000000000001</v>
      </c>
      <c r="J54" s="10">
        <v>8</v>
      </c>
      <c r="K54" s="10">
        <v>64.659216666666666</v>
      </c>
      <c r="L54" s="10">
        <v>54.06666666666667</v>
      </c>
      <c r="M54" s="10">
        <v>176.77581666666671</v>
      </c>
    </row>
    <row r="55" spans="1:13" x14ac:dyDescent="0.25">
      <c r="A55" s="8">
        <v>46</v>
      </c>
      <c r="B55" s="8" t="s">
        <v>263</v>
      </c>
      <c r="C55" s="8" t="s">
        <v>301</v>
      </c>
      <c r="D55" s="8" t="s">
        <v>28</v>
      </c>
      <c r="E55" s="8" t="s">
        <v>33</v>
      </c>
      <c r="F55" s="8" t="s">
        <v>33</v>
      </c>
      <c r="G55" s="11">
        <v>0</v>
      </c>
      <c r="H55" s="11">
        <v>20.583333333333329</v>
      </c>
      <c r="I55" s="11">
        <v>2.833333333333333</v>
      </c>
      <c r="J55" s="11">
        <v>4</v>
      </c>
      <c r="K55" s="11">
        <v>46.733333333333327</v>
      </c>
      <c r="L55" s="11">
        <v>35.116666666666667</v>
      </c>
      <c r="M55" s="11">
        <v>220.48333333333329</v>
      </c>
    </row>
    <row r="58" spans="1:13" ht="27.95" customHeight="1" x14ac:dyDescent="0.25">
      <c r="A58" s="55" t="s">
        <v>324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spans="1:13" ht="3.9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1" spans="1:13" ht="30" x14ac:dyDescent="0.25">
      <c r="A61" s="9" t="s">
        <v>59</v>
      </c>
      <c r="B61" s="9" t="s">
        <v>60</v>
      </c>
      <c r="C61" s="9" t="s">
        <v>292</v>
      </c>
      <c r="D61" s="9" t="s">
        <v>24</v>
      </c>
      <c r="E61" s="9" t="s">
        <v>61</v>
      </c>
      <c r="F61" s="9" t="s">
        <v>62</v>
      </c>
      <c r="G61" s="9" t="s">
        <v>293</v>
      </c>
      <c r="H61" s="9" t="s">
        <v>294</v>
      </c>
      <c r="I61" s="9" t="s">
        <v>295</v>
      </c>
      <c r="J61" s="9" t="s">
        <v>296</v>
      </c>
      <c r="K61" s="9" t="s">
        <v>297</v>
      </c>
      <c r="L61" s="9" t="s">
        <v>298</v>
      </c>
      <c r="M61" s="9" t="s">
        <v>299</v>
      </c>
    </row>
    <row r="62" spans="1:13" x14ac:dyDescent="0.25">
      <c r="A62" s="6">
        <v>3</v>
      </c>
      <c r="B62" s="6" t="s">
        <v>87</v>
      </c>
      <c r="C62" s="6" t="s">
        <v>300</v>
      </c>
      <c r="D62" s="6" t="s">
        <v>28</v>
      </c>
      <c r="E62" s="6" t="s">
        <v>35</v>
      </c>
      <c r="F62" s="6" t="s">
        <v>88</v>
      </c>
      <c r="G62" s="10">
        <v>0.32207239596471771</v>
      </c>
      <c r="H62" s="10">
        <v>0.46962669093374088</v>
      </c>
      <c r="I62" s="10">
        <v>0</v>
      </c>
      <c r="J62" s="10">
        <v>0.26467880112010561</v>
      </c>
      <c r="K62" s="10">
        <v>46.828639184274387</v>
      </c>
      <c r="L62" s="10">
        <v>41.953809708617477</v>
      </c>
      <c r="M62" s="10">
        <v>230.50068292981709</v>
      </c>
    </row>
    <row r="63" spans="1:13" x14ac:dyDescent="0.25">
      <c r="A63" s="8">
        <v>3</v>
      </c>
      <c r="B63" s="8" t="s">
        <v>87</v>
      </c>
      <c r="C63" s="8" t="s">
        <v>301</v>
      </c>
      <c r="D63" s="8" t="s">
        <v>28</v>
      </c>
      <c r="E63" s="8" t="s">
        <v>35</v>
      </c>
      <c r="F63" s="8" t="s">
        <v>88</v>
      </c>
      <c r="G63" s="11">
        <v>0</v>
      </c>
      <c r="H63" s="11">
        <v>0.34734042341449439</v>
      </c>
      <c r="I63" s="11">
        <v>0</v>
      </c>
      <c r="J63" s="11">
        <v>0.43740140315438419</v>
      </c>
      <c r="K63" s="11">
        <v>58.410381444501432</v>
      </c>
      <c r="L63" s="11">
        <v>47.464359459883809</v>
      </c>
      <c r="M63" s="11">
        <v>214.02953530309489</v>
      </c>
    </row>
    <row r="64" spans="1:13" x14ac:dyDescent="0.25">
      <c r="A64" s="6">
        <v>5</v>
      </c>
      <c r="B64" s="6" t="s">
        <v>102</v>
      </c>
      <c r="C64" s="6" t="s">
        <v>300</v>
      </c>
      <c r="D64" s="6" t="s">
        <v>28</v>
      </c>
      <c r="E64" s="6" t="s">
        <v>29</v>
      </c>
      <c r="F64" s="6" t="s">
        <v>96</v>
      </c>
      <c r="G64" s="10">
        <v>0</v>
      </c>
      <c r="H64" s="10">
        <v>0.35568686098748031</v>
      </c>
      <c r="I64" s="10">
        <v>0.46935934842854138</v>
      </c>
      <c r="J64" s="10">
        <v>0.35650575379932598</v>
      </c>
      <c r="K64" s="10">
        <v>43.251327961348252</v>
      </c>
      <c r="L64" s="10">
        <v>30.282041524727092</v>
      </c>
      <c r="M64" s="10">
        <v>66.907081684469304</v>
      </c>
    </row>
    <row r="65" spans="1:13" x14ac:dyDescent="0.25">
      <c r="A65" s="8">
        <v>5</v>
      </c>
      <c r="B65" s="8" t="s">
        <v>102</v>
      </c>
      <c r="C65" s="8" t="s">
        <v>301</v>
      </c>
      <c r="D65" s="8" t="s">
        <v>28</v>
      </c>
      <c r="E65" s="8" t="s">
        <v>29</v>
      </c>
      <c r="F65" s="8" t="s">
        <v>96</v>
      </c>
      <c r="G65" s="11">
        <v>0</v>
      </c>
      <c r="H65" s="11">
        <v>0.22156090055420241</v>
      </c>
      <c r="I65" s="11">
        <v>0</v>
      </c>
      <c r="J65" s="11">
        <v>0.11647473715777031</v>
      </c>
      <c r="K65" s="11">
        <v>21.52228685090974</v>
      </c>
      <c r="L65" s="11">
        <v>17.072623143274491</v>
      </c>
      <c r="M65" s="11">
        <v>102.738159054381</v>
      </c>
    </row>
    <row r="66" spans="1:13" x14ac:dyDescent="0.25">
      <c r="A66" s="6">
        <v>7</v>
      </c>
      <c r="B66" s="6" t="s">
        <v>111</v>
      </c>
      <c r="C66" s="6" t="s">
        <v>300</v>
      </c>
      <c r="D66" s="6" t="s">
        <v>28</v>
      </c>
      <c r="E66" s="6" t="s">
        <v>29</v>
      </c>
      <c r="F66" s="6" t="s">
        <v>96</v>
      </c>
      <c r="G66" s="10">
        <v>0</v>
      </c>
      <c r="H66" s="10">
        <v>0.4715380269015641</v>
      </c>
      <c r="I66" s="10">
        <v>0.72334267161559207</v>
      </c>
      <c r="J66" s="10">
        <v>0.62657519758941227</v>
      </c>
      <c r="K66" s="10">
        <v>44.372426251753588</v>
      </c>
      <c r="L66" s="10">
        <v>30.69503766819436</v>
      </c>
      <c r="M66" s="10">
        <v>69.221442413661691</v>
      </c>
    </row>
    <row r="67" spans="1:13" x14ac:dyDescent="0.25">
      <c r="A67" s="8">
        <v>7</v>
      </c>
      <c r="B67" s="8" t="s">
        <v>111</v>
      </c>
      <c r="C67" s="8" t="s">
        <v>301</v>
      </c>
      <c r="D67" s="8" t="s">
        <v>28</v>
      </c>
      <c r="E67" s="8" t="s">
        <v>29</v>
      </c>
      <c r="F67" s="8" t="s">
        <v>96</v>
      </c>
      <c r="G67" s="11">
        <v>0</v>
      </c>
      <c r="H67" s="11">
        <v>0.56746055645718996</v>
      </c>
      <c r="I67" s="11">
        <v>0.55256306869115623</v>
      </c>
      <c r="J67" s="11">
        <v>1.005496809016533</v>
      </c>
      <c r="K67" s="11">
        <v>27.609909695058061</v>
      </c>
      <c r="L67" s="11">
        <v>19.892928271907479</v>
      </c>
      <c r="M67" s="11">
        <v>96.565811989808935</v>
      </c>
    </row>
    <row r="68" spans="1:13" x14ac:dyDescent="0.25">
      <c r="A68" s="6">
        <v>16</v>
      </c>
      <c r="B68" s="6" t="s">
        <v>153</v>
      </c>
      <c r="C68" s="6" t="s">
        <v>300</v>
      </c>
      <c r="D68" s="6" t="s">
        <v>28</v>
      </c>
      <c r="E68" s="6" t="s">
        <v>29</v>
      </c>
      <c r="F68" s="6" t="s">
        <v>130</v>
      </c>
      <c r="G68" s="10">
        <v>0</v>
      </c>
      <c r="H68" s="10">
        <v>1.349334550099321</v>
      </c>
      <c r="I68" s="10">
        <v>0.85626343374075942</v>
      </c>
      <c r="J68" s="10">
        <v>0.6700482500107362</v>
      </c>
      <c r="K68" s="10">
        <v>44.025744768194123</v>
      </c>
      <c r="L68" s="10">
        <v>31.17572674470658</v>
      </c>
      <c r="M68" s="10">
        <v>74.16217403535677</v>
      </c>
    </row>
    <row r="69" spans="1:13" x14ac:dyDescent="0.25">
      <c r="A69" s="8">
        <v>16</v>
      </c>
      <c r="B69" s="8" t="s">
        <v>153</v>
      </c>
      <c r="C69" s="8" t="s">
        <v>301</v>
      </c>
      <c r="D69" s="8" t="s">
        <v>28</v>
      </c>
      <c r="E69" s="8" t="s">
        <v>29</v>
      </c>
      <c r="F69" s="8" t="s">
        <v>130</v>
      </c>
      <c r="G69" s="11">
        <v>0</v>
      </c>
      <c r="H69" s="11">
        <v>0.32294108699012902</v>
      </c>
      <c r="I69" s="11">
        <v>0.5256426997626461</v>
      </c>
      <c r="J69" s="11">
        <v>1.2222826160609359</v>
      </c>
      <c r="K69" s="11">
        <v>30.18268163700424</v>
      </c>
      <c r="L69" s="11">
        <v>24.79776882222491</v>
      </c>
      <c r="M69" s="11">
        <v>96.896273385660237</v>
      </c>
    </row>
    <row r="70" spans="1:13" x14ac:dyDescent="0.25">
      <c r="A70" s="6">
        <v>24</v>
      </c>
      <c r="B70" s="6" t="s">
        <v>178</v>
      </c>
      <c r="C70" s="6" t="s">
        <v>300</v>
      </c>
      <c r="D70" s="6" t="s">
        <v>28</v>
      </c>
      <c r="E70" s="6" t="s">
        <v>29</v>
      </c>
      <c r="F70" s="6" t="s">
        <v>130</v>
      </c>
      <c r="G70" s="10">
        <v>0</v>
      </c>
      <c r="H70" s="10">
        <v>0.43287959154678851</v>
      </c>
      <c r="I70" s="10">
        <v>0.5147545761381157</v>
      </c>
      <c r="J70" s="10">
        <v>0.73819242016004771</v>
      </c>
      <c r="K70" s="10">
        <v>38.040822350023817</v>
      </c>
      <c r="L70" s="10">
        <v>28.349735048175351</v>
      </c>
      <c r="M70" s="10">
        <v>56.945127768261933</v>
      </c>
    </row>
    <row r="71" spans="1:13" x14ac:dyDescent="0.25">
      <c r="A71" s="8">
        <v>24</v>
      </c>
      <c r="B71" s="8" t="s">
        <v>178</v>
      </c>
      <c r="C71" s="8" t="s">
        <v>301</v>
      </c>
      <c r="D71" s="8" t="s">
        <v>28</v>
      </c>
      <c r="E71" s="8" t="s">
        <v>29</v>
      </c>
      <c r="F71" s="8" t="s">
        <v>130</v>
      </c>
      <c r="G71" s="11">
        <v>0</v>
      </c>
      <c r="H71" s="11">
        <v>0.1090721560237224</v>
      </c>
      <c r="I71" s="11">
        <v>0.87722495457012495</v>
      </c>
      <c r="J71" s="11">
        <v>0</v>
      </c>
      <c r="K71" s="11">
        <v>28.213201619757211</v>
      </c>
      <c r="L71" s="11">
        <v>20.93633895165053</v>
      </c>
      <c r="M71" s="11">
        <v>73.751298912570178</v>
      </c>
    </row>
    <row r="72" spans="1:13" x14ac:dyDescent="0.25">
      <c r="A72" s="6">
        <v>27</v>
      </c>
      <c r="B72" s="6" t="s">
        <v>186</v>
      </c>
      <c r="C72" s="6" t="s">
        <v>300</v>
      </c>
      <c r="D72" s="6" t="s">
        <v>28</v>
      </c>
      <c r="E72" s="6" t="s">
        <v>29</v>
      </c>
      <c r="F72" s="6" t="s">
        <v>130</v>
      </c>
      <c r="G72" s="10">
        <v>0</v>
      </c>
      <c r="H72" s="10">
        <v>0.1769495542483206</v>
      </c>
      <c r="I72" s="10">
        <v>0.28644165794522208</v>
      </c>
      <c r="J72" s="10">
        <v>0.23768555241039721</v>
      </c>
      <c r="K72" s="10">
        <v>48.513466786391881</v>
      </c>
      <c r="L72" s="10">
        <v>34.664168060301797</v>
      </c>
      <c r="M72" s="10">
        <v>54.415752988771978</v>
      </c>
    </row>
    <row r="73" spans="1:13" x14ac:dyDescent="0.25">
      <c r="A73" s="8">
        <v>27</v>
      </c>
      <c r="B73" s="8" t="s">
        <v>186</v>
      </c>
      <c r="C73" s="8" t="s">
        <v>301</v>
      </c>
      <c r="D73" s="8" t="s">
        <v>28</v>
      </c>
      <c r="E73" s="8" t="s">
        <v>29</v>
      </c>
      <c r="F73" s="8" t="s">
        <v>130</v>
      </c>
      <c r="G73" s="11">
        <v>0</v>
      </c>
      <c r="H73" s="11">
        <v>0.11699904226004509</v>
      </c>
      <c r="I73" s="11">
        <v>0.95688081818818838</v>
      </c>
      <c r="J73" s="11">
        <v>0.74908888986193567</v>
      </c>
      <c r="K73" s="11">
        <v>36.712209444916184</v>
      </c>
      <c r="L73" s="11">
        <v>25.040527354235781</v>
      </c>
      <c r="M73" s="11">
        <v>74.293641117732662</v>
      </c>
    </row>
    <row r="74" spans="1:13" x14ac:dyDescent="0.25">
      <c r="A74" s="6">
        <v>32</v>
      </c>
      <c r="B74" s="6" t="s">
        <v>201</v>
      </c>
      <c r="C74" s="6" t="s">
        <v>300</v>
      </c>
      <c r="D74" s="6" t="s">
        <v>28</v>
      </c>
      <c r="E74" s="6" t="s">
        <v>35</v>
      </c>
      <c r="F74" s="6" t="s">
        <v>76</v>
      </c>
      <c r="G74" s="10">
        <v>0.14191087104532421</v>
      </c>
      <c r="H74" s="10">
        <v>1.601243883509142</v>
      </c>
      <c r="I74" s="10">
        <v>0</v>
      </c>
      <c r="J74" s="10">
        <v>0.2289474824354939</v>
      </c>
      <c r="K74" s="10">
        <v>60.390008783948808</v>
      </c>
      <c r="L74" s="10">
        <v>48.618346688203523</v>
      </c>
      <c r="M74" s="10">
        <v>213.8473891466835</v>
      </c>
    </row>
    <row r="75" spans="1:13" x14ac:dyDescent="0.25">
      <c r="A75" s="8">
        <v>32</v>
      </c>
      <c r="B75" s="8" t="s">
        <v>201</v>
      </c>
      <c r="C75" s="8" t="s">
        <v>301</v>
      </c>
      <c r="D75" s="8" t="s">
        <v>28</v>
      </c>
      <c r="E75" s="8" t="s">
        <v>35</v>
      </c>
      <c r="F75" s="8" t="s">
        <v>76</v>
      </c>
      <c r="G75" s="11">
        <v>0</v>
      </c>
      <c r="H75" s="11">
        <v>0.2136487015115684</v>
      </c>
      <c r="I75" s="11">
        <v>0</v>
      </c>
      <c r="J75" s="11">
        <v>0.30731281945969252</v>
      </c>
      <c r="K75" s="11">
        <v>59.158885604214703</v>
      </c>
      <c r="L75" s="11">
        <v>41.619295306483529</v>
      </c>
      <c r="M75" s="11">
        <v>229.35471122561461</v>
      </c>
    </row>
    <row r="76" spans="1:13" x14ac:dyDescent="0.25">
      <c r="A76" s="6">
        <v>33</v>
      </c>
      <c r="B76" s="6" t="s">
        <v>205</v>
      </c>
      <c r="C76" s="6" t="s">
        <v>300</v>
      </c>
      <c r="D76" s="6" t="s">
        <v>28</v>
      </c>
      <c r="E76" s="6" t="s">
        <v>35</v>
      </c>
      <c r="F76" s="6" t="s">
        <v>76</v>
      </c>
      <c r="G76" s="10">
        <v>0.14191087104532421</v>
      </c>
      <c r="H76" s="10">
        <v>1.601243883509142</v>
      </c>
      <c r="I76" s="10">
        <v>0</v>
      </c>
      <c r="J76" s="10">
        <v>0.2289474824354939</v>
      </c>
      <c r="K76" s="10">
        <v>59.191315216437189</v>
      </c>
      <c r="L76" s="10">
        <v>47.930006827141881</v>
      </c>
      <c r="M76" s="10">
        <v>211.20157917584299</v>
      </c>
    </row>
    <row r="77" spans="1:13" x14ac:dyDescent="0.25">
      <c r="A77" s="8">
        <v>33</v>
      </c>
      <c r="B77" s="8" t="s">
        <v>205</v>
      </c>
      <c r="C77" s="8" t="s">
        <v>301</v>
      </c>
      <c r="D77" s="8" t="s">
        <v>28</v>
      </c>
      <c r="E77" s="8" t="s">
        <v>35</v>
      </c>
      <c r="F77" s="8" t="s">
        <v>76</v>
      </c>
      <c r="G77" s="11">
        <v>0</v>
      </c>
      <c r="H77" s="11">
        <v>8.3882197240028836E-2</v>
      </c>
      <c r="I77" s="11">
        <v>4.6840289826681099E-2</v>
      </c>
      <c r="J77" s="11">
        <v>0.24952844734976529</v>
      </c>
      <c r="K77" s="11">
        <v>61.459796257234032</v>
      </c>
      <c r="L77" s="11">
        <v>46.932577465389251</v>
      </c>
      <c r="M77" s="11">
        <v>212.15760828628709</v>
      </c>
    </row>
    <row r="78" spans="1:13" x14ac:dyDescent="0.25">
      <c r="A78" s="6">
        <v>35</v>
      </c>
      <c r="B78" s="6" t="s">
        <v>212</v>
      </c>
      <c r="C78" s="6" t="s">
        <v>300</v>
      </c>
      <c r="D78" s="6" t="s">
        <v>28</v>
      </c>
      <c r="E78" s="6" t="s">
        <v>29</v>
      </c>
      <c r="F78" s="6" t="s">
        <v>130</v>
      </c>
      <c r="G78" s="10">
        <v>0</v>
      </c>
      <c r="H78" s="10">
        <v>7.0507928329398672E-2</v>
      </c>
      <c r="I78" s="10">
        <v>0.1448841273528465</v>
      </c>
      <c r="J78" s="10">
        <v>0.25921076400223497</v>
      </c>
      <c r="K78" s="10">
        <v>43.798166138630357</v>
      </c>
      <c r="L78" s="10">
        <v>31.327707045503551</v>
      </c>
      <c r="M78" s="10">
        <v>50.141193298572247</v>
      </c>
    </row>
    <row r="79" spans="1:13" x14ac:dyDescent="0.25">
      <c r="A79" s="8">
        <v>35</v>
      </c>
      <c r="B79" s="8" t="s">
        <v>212</v>
      </c>
      <c r="C79" s="8" t="s">
        <v>301</v>
      </c>
      <c r="D79" s="8" t="s">
        <v>28</v>
      </c>
      <c r="E79" s="8" t="s">
        <v>29</v>
      </c>
      <c r="F79" s="8" t="s">
        <v>130</v>
      </c>
      <c r="G79" s="11">
        <v>0</v>
      </c>
      <c r="H79" s="11">
        <v>0.1090721560237224</v>
      </c>
      <c r="I79" s="11">
        <v>0.85914424303480363</v>
      </c>
      <c r="J79" s="11">
        <v>0</v>
      </c>
      <c r="K79" s="11">
        <v>28.213201619757211</v>
      </c>
      <c r="L79" s="11">
        <v>20.93633895165053</v>
      </c>
      <c r="M79" s="11">
        <v>73.864623033822284</v>
      </c>
    </row>
    <row r="80" spans="1:13" x14ac:dyDescent="0.25">
      <c r="A80" s="6">
        <v>36</v>
      </c>
      <c r="B80" s="6" t="s">
        <v>214</v>
      </c>
      <c r="C80" s="6" t="s">
        <v>300</v>
      </c>
      <c r="D80" s="6" t="s">
        <v>28</v>
      </c>
      <c r="E80" s="6" t="s">
        <v>35</v>
      </c>
      <c r="F80" s="6" t="s">
        <v>88</v>
      </c>
      <c r="G80" s="10">
        <v>7.3400927521957676E-2</v>
      </c>
      <c r="H80" s="10">
        <v>0.70180496243028956</v>
      </c>
      <c r="I80" s="10">
        <v>4.5554317839269158E-2</v>
      </c>
      <c r="J80" s="10">
        <v>1.402436801450748</v>
      </c>
      <c r="K80" s="10">
        <v>43.073610496415832</v>
      </c>
      <c r="L80" s="10">
        <v>38.728575105778127</v>
      </c>
      <c r="M80" s="10">
        <v>242.43273005286389</v>
      </c>
    </row>
    <row r="81" spans="1:13" x14ac:dyDescent="0.25">
      <c r="A81" s="8">
        <v>36</v>
      </c>
      <c r="B81" s="8" t="s">
        <v>214</v>
      </c>
      <c r="C81" s="8" t="s">
        <v>301</v>
      </c>
      <c r="D81" s="8" t="s">
        <v>28</v>
      </c>
      <c r="E81" s="8" t="s">
        <v>35</v>
      </c>
      <c r="F81" s="8" t="s">
        <v>88</v>
      </c>
      <c r="G81" s="11">
        <v>0</v>
      </c>
      <c r="H81" s="11">
        <v>0.34734042341449439</v>
      </c>
      <c r="I81" s="11">
        <v>0</v>
      </c>
      <c r="J81" s="11">
        <v>0.45457411253170432</v>
      </c>
      <c r="K81" s="11">
        <v>60.408704745590633</v>
      </c>
      <c r="L81" s="11">
        <v>48.510694040374013</v>
      </c>
      <c r="M81" s="11">
        <v>216.86930410634201</v>
      </c>
    </row>
    <row r="82" spans="1:13" x14ac:dyDescent="0.25">
      <c r="A82" s="6">
        <v>37</v>
      </c>
      <c r="B82" s="6" t="s">
        <v>218</v>
      </c>
      <c r="C82" s="6" t="s">
        <v>300</v>
      </c>
      <c r="D82" s="6" t="s">
        <v>28</v>
      </c>
      <c r="E82" s="6" t="s">
        <v>35</v>
      </c>
      <c r="F82" s="6" t="s">
        <v>76</v>
      </c>
      <c r="G82" s="10">
        <v>0.30535713043367269</v>
      </c>
      <c r="H82" s="10">
        <v>0.14094843113112021</v>
      </c>
      <c r="I82" s="10">
        <v>5.4215425897099186E-3</v>
      </c>
      <c r="J82" s="10">
        <v>0.92447727733159768</v>
      </c>
      <c r="K82" s="10">
        <v>30.514332664280492</v>
      </c>
      <c r="L82" s="10">
        <v>28.675992224263862</v>
      </c>
      <c r="M82" s="10">
        <v>188.56031910176461</v>
      </c>
    </row>
    <row r="83" spans="1:13" x14ac:dyDescent="0.25">
      <c r="A83" s="8">
        <v>37</v>
      </c>
      <c r="B83" s="8" t="s">
        <v>218</v>
      </c>
      <c r="C83" s="8" t="s">
        <v>301</v>
      </c>
      <c r="D83" s="8" t="s">
        <v>28</v>
      </c>
      <c r="E83" s="8" t="s">
        <v>35</v>
      </c>
      <c r="F83" s="8" t="s">
        <v>76</v>
      </c>
      <c r="G83" s="11">
        <v>0</v>
      </c>
      <c r="H83" s="11">
        <v>8.3882197240028836E-2</v>
      </c>
      <c r="I83" s="11">
        <v>2.4298019276443351E-2</v>
      </c>
      <c r="J83" s="11">
        <v>0.2309310830082773</v>
      </c>
      <c r="K83" s="11">
        <v>45.486197913377573</v>
      </c>
      <c r="L83" s="11">
        <v>34.428473200240241</v>
      </c>
      <c r="M83" s="11">
        <v>169.6534187990338</v>
      </c>
    </row>
    <row r="84" spans="1:13" x14ac:dyDescent="0.25">
      <c r="A84" s="6">
        <v>40</v>
      </c>
      <c r="B84" s="6" t="s">
        <v>234</v>
      </c>
      <c r="C84" s="6" t="s">
        <v>300</v>
      </c>
      <c r="D84" s="6" t="s">
        <v>28</v>
      </c>
      <c r="E84" s="6" t="s">
        <v>31</v>
      </c>
      <c r="F84" s="6" t="s">
        <v>31</v>
      </c>
      <c r="G84" s="10">
        <v>0.1423627546916193</v>
      </c>
      <c r="H84" s="10">
        <v>0.19087658536061269</v>
      </c>
      <c r="I84" s="10">
        <v>0.1087001286100384</v>
      </c>
      <c r="J84" s="10">
        <v>0.39868431866922599</v>
      </c>
      <c r="K84" s="10">
        <v>67.358249040373622</v>
      </c>
      <c r="L84" s="10">
        <v>52.27381680184341</v>
      </c>
      <c r="M84" s="10">
        <v>205.9508621472857</v>
      </c>
    </row>
    <row r="85" spans="1:13" x14ac:dyDescent="0.25">
      <c r="A85" s="8">
        <v>40</v>
      </c>
      <c r="B85" s="8" t="s">
        <v>234</v>
      </c>
      <c r="C85" s="8" t="s">
        <v>301</v>
      </c>
      <c r="D85" s="8" t="s">
        <v>28</v>
      </c>
      <c r="E85" s="8" t="s">
        <v>31</v>
      </c>
      <c r="F85" s="8" t="s">
        <v>31</v>
      </c>
      <c r="G85" s="11">
        <v>0</v>
      </c>
      <c r="H85" s="11">
        <v>2.1664931883547331E-3</v>
      </c>
      <c r="I85" s="11">
        <v>4.085835435001741E-2</v>
      </c>
      <c r="J85" s="11">
        <v>0.36129624957342932</v>
      </c>
      <c r="K85" s="11">
        <v>42.505617415062652</v>
      </c>
      <c r="L85" s="11">
        <v>30.728695534576911</v>
      </c>
      <c r="M85" s="11">
        <v>252.31347506200601</v>
      </c>
    </row>
    <row r="86" spans="1:13" x14ac:dyDescent="0.25">
      <c r="A86" s="6">
        <v>41</v>
      </c>
      <c r="B86" s="6" t="s">
        <v>238</v>
      </c>
      <c r="C86" s="6" t="s">
        <v>300</v>
      </c>
      <c r="D86" s="6" t="s">
        <v>28</v>
      </c>
      <c r="E86" s="6" t="s">
        <v>31</v>
      </c>
      <c r="F86" s="6" t="s">
        <v>31</v>
      </c>
      <c r="G86" s="10">
        <v>5.2222732101069563E-2</v>
      </c>
      <c r="H86" s="10">
        <v>0.12701409600270411</v>
      </c>
      <c r="I86" s="10">
        <v>3.1548608690509579E-2</v>
      </c>
      <c r="J86" s="10">
        <v>0.16750319091501231</v>
      </c>
      <c r="K86" s="10">
        <v>59.993505539180077</v>
      </c>
      <c r="L86" s="10">
        <v>53.823119668093447</v>
      </c>
      <c r="M86" s="10">
        <v>211.25438556095691</v>
      </c>
    </row>
    <row r="87" spans="1:13" x14ac:dyDescent="0.25">
      <c r="A87" s="8">
        <v>41</v>
      </c>
      <c r="B87" s="8" t="s">
        <v>238</v>
      </c>
      <c r="C87" s="8" t="s">
        <v>301</v>
      </c>
      <c r="D87" s="8" t="s">
        <v>28</v>
      </c>
      <c r="E87" s="8" t="s">
        <v>31</v>
      </c>
      <c r="F87" s="8" t="s">
        <v>31</v>
      </c>
      <c r="G87" s="11">
        <v>0</v>
      </c>
      <c r="H87" s="11">
        <v>0.54761889554039</v>
      </c>
      <c r="I87" s="11">
        <v>5.0473616639224998E-2</v>
      </c>
      <c r="J87" s="11">
        <v>0.94513627935308775</v>
      </c>
      <c r="K87" s="11">
        <v>50.235548888441691</v>
      </c>
      <c r="L87" s="11">
        <v>45.362202854839133</v>
      </c>
      <c r="M87" s="11">
        <v>228.0564978626206</v>
      </c>
    </row>
    <row r="88" spans="1:13" x14ac:dyDescent="0.25">
      <c r="A88" s="6">
        <v>45</v>
      </c>
      <c r="B88" s="6" t="s">
        <v>259</v>
      </c>
      <c r="C88" s="6" t="s">
        <v>300</v>
      </c>
      <c r="D88" s="6" t="s">
        <v>28</v>
      </c>
      <c r="E88" s="6" t="s">
        <v>33</v>
      </c>
      <c r="F88" s="6" t="s">
        <v>33</v>
      </c>
      <c r="G88" s="10">
        <v>0.1119717603069536</v>
      </c>
      <c r="H88" s="10">
        <v>0.2137910036648912</v>
      </c>
      <c r="I88" s="10">
        <v>2.66289259127734E-2</v>
      </c>
      <c r="J88" s="10">
        <v>0.56215733478846408</v>
      </c>
      <c r="K88" s="10">
        <v>67.301100613028154</v>
      </c>
      <c r="L88" s="10">
        <v>56.319756834393488</v>
      </c>
      <c r="M88" s="10">
        <v>197.7381876113653</v>
      </c>
    </row>
    <row r="89" spans="1:13" x14ac:dyDescent="0.25">
      <c r="A89" s="8">
        <v>45</v>
      </c>
      <c r="B89" s="8" t="s">
        <v>259</v>
      </c>
      <c r="C89" s="8" t="s">
        <v>301</v>
      </c>
      <c r="D89" s="8" t="s">
        <v>28</v>
      </c>
      <c r="E89" s="8" t="s">
        <v>33</v>
      </c>
      <c r="F89" s="8" t="s">
        <v>33</v>
      </c>
      <c r="G89" s="11">
        <v>0</v>
      </c>
      <c r="H89" s="11">
        <v>0.44332241051292248</v>
      </c>
      <c r="I89" s="11">
        <v>0.428265735708522</v>
      </c>
      <c r="J89" s="11">
        <v>0.51104472499002784</v>
      </c>
      <c r="K89" s="11">
        <v>36.197264170490961</v>
      </c>
      <c r="L89" s="11">
        <v>28.879561718426849</v>
      </c>
      <c r="M89" s="11">
        <v>256.18752385879287</v>
      </c>
    </row>
    <row r="90" spans="1:13" x14ac:dyDescent="0.25">
      <c r="A90" s="6">
        <v>46</v>
      </c>
      <c r="B90" s="6" t="s">
        <v>263</v>
      </c>
      <c r="C90" s="6" t="s">
        <v>300</v>
      </c>
      <c r="D90" s="6" t="s">
        <v>28</v>
      </c>
      <c r="E90" s="6" t="s">
        <v>33</v>
      </c>
      <c r="F90" s="6" t="s">
        <v>33</v>
      </c>
      <c r="G90" s="10">
        <v>8.8935996553685642E-2</v>
      </c>
      <c r="H90" s="10">
        <v>0.1794253337608642</v>
      </c>
      <c r="I90" s="10">
        <v>5.059730733317578E-2</v>
      </c>
      <c r="J90" s="10">
        <v>0.57665162648251256</v>
      </c>
      <c r="K90" s="10">
        <v>63.807175975714962</v>
      </c>
      <c r="L90" s="10">
        <v>54.004262033049137</v>
      </c>
      <c r="M90" s="10">
        <v>206.22798010798391</v>
      </c>
    </row>
    <row r="91" spans="1:13" x14ac:dyDescent="0.25">
      <c r="A91" s="8">
        <v>46</v>
      </c>
      <c r="B91" s="8" t="s">
        <v>263</v>
      </c>
      <c r="C91" s="8" t="s">
        <v>301</v>
      </c>
      <c r="D91" s="8" t="s">
        <v>28</v>
      </c>
      <c r="E91" s="8" t="s">
        <v>33</v>
      </c>
      <c r="F91" s="8" t="s">
        <v>33</v>
      </c>
      <c r="G91" s="11">
        <v>0</v>
      </c>
      <c r="H91" s="11">
        <v>0.47667835410688608</v>
      </c>
      <c r="I91" s="11">
        <v>1.27297174998127E-2</v>
      </c>
      <c r="J91" s="11">
        <v>0.4202840859765154</v>
      </c>
      <c r="K91" s="11">
        <v>41.502099869045793</v>
      </c>
      <c r="L91" s="11">
        <v>32.504544856726113</v>
      </c>
      <c r="M91" s="11">
        <v>250.81001115689449</v>
      </c>
    </row>
  </sheetData>
  <autoFilter ref="A61:M91"/>
  <mergeCells count="3">
    <mergeCell ref="A1:V1"/>
    <mergeCell ref="A58:M58"/>
    <mergeCell ref="A22:M2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9" width="22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4</v>
      </c>
      <c r="B5" s="6" t="s">
        <v>95</v>
      </c>
      <c r="C5" s="6" t="s">
        <v>42</v>
      </c>
      <c r="D5" s="6" t="s">
        <v>28</v>
      </c>
      <c r="E5" s="6" t="s">
        <v>29</v>
      </c>
      <c r="F5" s="6" t="s">
        <v>96</v>
      </c>
      <c r="G5" s="6" t="s">
        <v>97</v>
      </c>
      <c r="H5" s="6" t="s">
        <v>97</v>
      </c>
      <c r="I5" s="10">
        <v>148.19876902377749</v>
      </c>
      <c r="J5" s="10">
        <v>148.1254196841063</v>
      </c>
      <c r="K5" s="10">
        <v>240.44363333333331</v>
      </c>
      <c r="L5" s="10">
        <v>274.35000000000002</v>
      </c>
      <c r="M5" s="6" t="s">
        <v>98</v>
      </c>
      <c r="N5" s="6" t="s">
        <v>99</v>
      </c>
      <c r="O5" s="6" t="s">
        <v>100</v>
      </c>
      <c r="P5" s="6" t="s">
        <v>101</v>
      </c>
      <c r="Q5" s="10">
        <v>42.808105641290943</v>
      </c>
      <c r="R5" s="10">
        <v>44.784536201483498</v>
      </c>
    </row>
    <row r="6" spans="1:18" x14ac:dyDescent="0.25">
      <c r="A6" s="8">
        <v>11</v>
      </c>
      <c r="B6" s="8" t="s">
        <v>129</v>
      </c>
      <c r="C6" s="8" t="s">
        <v>42</v>
      </c>
      <c r="D6" s="8" t="s">
        <v>28</v>
      </c>
      <c r="E6" s="8" t="s">
        <v>29</v>
      </c>
      <c r="F6" s="8" t="s">
        <v>130</v>
      </c>
      <c r="G6" s="8" t="s">
        <v>131</v>
      </c>
      <c r="H6" s="8" t="s">
        <v>131</v>
      </c>
      <c r="I6" s="11">
        <v>143.67832745765901</v>
      </c>
      <c r="J6" s="11">
        <v>143.70610311558761</v>
      </c>
      <c r="K6" s="11">
        <v>241.37365</v>
      </c>
      <c r="L6" s="11">
        <v>241.6157666666667</v>
      </c>
      <c r="M6" s="8" t="s">
        <v>132</v>
      </c>
      <c r="N6" s="8" t="s">
        <v>133</v>
      </c>
      <c r="O6" s="8" t="s">
        <v>134</v>
      </c>
      <c r="P6" s="8" t="s">
        <v>135</v>
      </c>
      <c r="Q6" s="11">
        <v>44.633872553714347</v>
      </c>
      <c r="R6" s="11">
        <v>42.341883574137007</v>
      </c>
    </row>
    <row r="7" spans="1:18" x14ac:dyDescent="0.25">
      <c r="A7" s="6">
        <v>18</v>
      </c>
      <c r="B7" s="6" t="s">
        <v>162</v>
      </c>
      <c r="C7" s="6" t="s">
        <v>42</v>
      </c>
      <c r="D7" s="6" t="s">
        <v>28</v>
      </c>
      <c r="E7" s="6" t="s">
        <v>29</v>
      </c>
      <c r="F7" s="6" t="s">
        <v>96</v>
      </c>
      <c r="G7" s="6" t="s">
        <v>103</v>
      </c>
      <c r="H7" s="6" t="s">
        <v>103</v>
      </c>
      <c r="I7" s="10">
        <v>141.5990549680233</v>
      </c>
      <c r="J7" s="10">
        <v>141.66630570695861</v>
      </c>
      <c r="K7" s="10">
        <v>205.6434166666667</v>
      </c>
      <c r="L7" s="10">
        <v>221.15</v>
      </c>
      <c r="M7" s="6" t="s">
        <v>163</v>
      </c>
      <c r="N7" s="6" t="s">
        <v>164</v>
      </c>
      <c r="O7" s="6" t="s">
        <v>106</v>
      </c>
      <c r="P7" s="6" t="s">
        <v>107</v>
      </c>
      <c r="Q7" s="10">
        <v>51.089288821174947</v>
      </c>
      <c r="R7" s="10">
        <v>44.820093416341507</v>
      </c>
    </row>
    <row r="8" spans="1:18" x14ac:dyDescent="0.25">
      <c r="A8" s="8">
        <v>23</v>
      </c>
      <c r="B8" s="8" t="s">
        <v>176</v>
      </c>
      <c r="C8" s="8" t="s">
        <v>42</v>
      </c>
      <c r="D8" s="8" t="s">
        <v>28</v>
      </c>
      <c r="E8" s="8" t="s">
        <v>29</v>
      </c>
      <c r="F8" s="8" t="s">
        <v>130</v>
      </c>
      <c r="G8" s="8" t="s">
        <v>137</v>
      </c>
      <c r="H8" s="8" t="s">
        <v>137</v>
      </c>
      <c r="I8" s="11">
        <v>137.84785127876921</v>
      </c>
      <c r="J8" s="11">
        <v>137.9112374368539</v>
      </c>
      <c r="K8" s="11">
        <v>223.05115000000001</v>
      </c>
      <c r="L8" s="11">
        <v>231.8833333333333</v>
      </c>
      <c r="M8" s="8" t="s">
        <v>142</v>
      </c>
      <c r="N8" s="8" t="s">
        <v>177</v>
      </c>
      <c r="O8" s="8" t="s">
        <v>139</v>
      </c>
      <c r="P8" s="8" t="s">
        <v>140</v>
      </c>
      <c r="Q8" s="11">
        <v>43.489208200130058</v>
      </c>
      <c r="R8" s="11">
        <v>40.29129762507425</v>
      </c>
    </row>
    <row r="9" spans="1:18" x14ac:dyDescent="0.25">
      <c r="A9" s="6">
        <v>28</v>
      </c>
      <c r="B9" s="6" t="s">
        <v>188</v>
      </c>
      <c r="C9" s="6" t="s">
        <v>42</v>
      </c>
      <c r="D9" s="6" t="s">
        <v>28</v>
      </c>
      <c r="E9" s="6" t="s">
        <v>29</v>
      </c>
      <c r="F9" s="6" t="s">
        <v>96</v>
      </c>
      <c r="G9" s="6" t="s">
        <v>112</v>
      </c>
      <c r="H9" s="6" t="s">
        <v>112</v>
      </c>
      <c r="I9" s="10">
        <v>145.90644227428081</v>
      </c>
      <c r="J9" s="10">
        <v>145.99433069945931</v>
      </c>
      <c r="K9" s="10">
        <v>195.40219999999999</v>
      </c>
      <c r="L9" s="10">
        <v>266.86321666666669</v>
      </c>
      <c r="M9" s="6" t="s">
        <v>189</v>
      </c>
      <c r="N9" s="6" t="s">
        <v>190</v>
      </c>
      <c r="O9" s="6" t="s">
        <v>115</v>
      </c>
      <c r="P9" s="6" t="s">
        <v>191</v>
      </c>
      <c r="Q9" s="10">
        <v>48.032687059895139</v>
      </c>
      <c r="R9" s="10">
        <v>45.342764687473462</v>
      </c>
    </row>
    <row r="10" spans="1:18" x14ac:dyDescent="0.25">
      <c r="A10" s="8">
        <v>31</v>
      </c>
      <c r="B10" s="8" t="s">
        <v>198</v>
      </c>
      <c r="C10" s="8" t="s">
        <v>42</v>
      </c>
      <c r="D10" s="8" t="s">
        <v>28</v>
      </c>
      <c r="E10" s="8" t="s">
        <v>29</v>
      </c>
      <c r="F10" s="8" t="s">
        <v>130</v>
      </c>
      <c r="G10" s="8" t="s">
        <v>145</v>
      </c>
      <c r="H10" s="8" t="s">
        <v>145</v>
      </c>
      <c r="I10" s="11">
        <v>123.9926446469637</v>
      </c>
      <c r="J10" s="11">
        <v>123.9802750677086</v>
      </c>
      <c r="K10" s="11">
        <v>187.65295</v>
      </c>
      <c r="L10" s="11">
        <v>194.95840000000001</v>
      </c>
      <c r="M10" s="8" t="s">
        <v>199</v>
      </c>
      <c r="N10" s="8" t="s">
        <v>200</v>
      </c>
      <c r="O10" s="8" t="s">
        <v>148</v>
      </c>
      <c r="P10" s="8" t="s">
        <v>149</v>
      </c>
      <c r="Q10" s="11">
        <v>46.882858863668829</v>
      </c>
      <c r="R10" s="11">
        <v>42.761694453487323</v>
      </c>
    </row>
    <row r="11" spans="1:18" x14ac:dyDescent="0.25">
      <c r="A11" s="6">
        <v>37</v>
      </c>
      <c r="B11" s="6" t="s">
        <v>218</v>
      </c>
      <c r="C11" s="6" t="s">
        <v>42</v>
      </c>
      <c r="D11" s="6" t="s">
        <v>28</v>
      </c>
      <c r="E11" s="6" t="s">
        <v>35</v>
      </c>
      <c r="F11" s="6" t="s">
        <v>76</v>
      </c>
      <c r="G11" s="6" t="s">
        <v>219</v>
      </c>
      <c r="H11" s="6" t="s">
        <v>84</v>
      </c>
      <c r="I11" s="10">
        <v>249.12684837179509</v>
      </c>
      <c r="J11" s="10">
        <v>249.90720121217629</v>
      </c>
      <c r="K11" s="10">
        <v>261.38704999999999</v>
      </c>
      <c r="L11" s="10">
        <v>244.9409666666667</v>
      </c>
      <c r="M11" s="6" t="s">
        <v>220</v>
      </c>
      <c r="N11" s="6" t="s">
        <v>221</v>
      </c>
      <c r="O11" s="6" t="s">
        <v>85</v>
      </c>
      <c r="P11" s="6" t="s">
        <v>222</v>
      </c>
      <c r="Q11" s="10">
        <v>63.843688448222949</v>
      </c>
      <c r="R11" s="10">
        <v>67.45522324597772</v>
      </c>
    </row>
    <row r="12" spans="1:18" x14ac:dyDescent="0.25">
      <c r="A12" s="8">
        <v>38</v>
      </c>
      <c r="B12" s="8" t="s">
        <v>223</v>
      </c>
      <c r="C12" s="8" t="s">
        <v>42</v>
      </c>
      <c r="D12" s="8" t="s">
        <v>28</v>
      </c>
      <c r="E12" s="8" t="s">
        <v>31</v>
      </c>
      <c r="F12" s="8" t="s">
        <v>31</v>
      </c>
      <c r="G12" s="8" t="s">
        <v>224</v>
      </c>
      <c r="H12" s="8" t="s">
        <v>224</v>
      </c>
      <c r="I12" s="11">
        <v>326.35477257458922</v>
      </c>
      <c r="J12" s="11">
        <v>325.94609719425989</v>
      </c>
      <c r="K12" s="11">
        <v>395</v>
      </c>
      <c r="L12" s="11">
        <v>374.96151666666663</v>
      </c>
      <c r="M12" s="8" t="s">
        <v>225</v>
      </c>
      <c r="N12" s="8" t="s">
        <v>226</v>
      </c>
      <c r="O12" s="8" t="s">
        <v>227</v>
      </c>
      <c r="P12" s="8" t="s">
        <v>228</v>
      </c>
      <c r="Q12" s="11">
        <v>61.316237218779037</v>
      </c>
      <c r="R12" s="11">
        <v>59.540017015084743</v>
      </c>
    </row>
    <row r="13" spans="1:18" x14ac:dyDescent="0.25">
      <c r="A13" s="6">
        <v>42</v>
      </c>
      <c r="B13" s="6" t="s">
        <v>242</v>
      </c>
      <c r="C13" s="6" t="s">
        <v>42</v>
      </c>
      <c r="D13" s="6" t="s">
        <v>28</v>
      </c>
      <c r="E13" s="6" t="s">
        <v>33</v>
      </c>
      <c r="F13" s="6" t="s">
        <v>33</v>
      </c>
      <c r="G13" s="6" t="s">
        <v>243</v>
      </c>
      <c r="H13" s="6" t="s">
        <v>243</v>
      </c>
      <c r="I13" s="10">
        <v>321.86119576256169</v>
      </c>
      <c r="J13" s="10">
        <v>322.43341940471572</v>
      </c>
      <c r="K13" s="10">
        <v>405.77063333333331</v>
      </c>
      <c r="L13" s="10">
        <v>325.4048166666667</v>
      </c>
      <c r="M13" s="6" t="s">
        <v>244</v>
      </c>
      <c r="N13" s="6" t="s">
        <v>245</v>
      </c>
      <c r="O13" s="6" t="s">
        <v>246</v>
      </c>
      <c r="P13" s="6" t="s">
        <v>247</v>
      </c>
      <c r="Q13" s="10">
        <v>64.645314886366052</v>
      </c>
      <c r="R13" s="10">
        <v>63.964896238433653</v>
      </c>
    </row>
    <row r="14" spans="1:18" x14ac:dyDescent="0.25">
      <c r="A14" s="8">
        <v>48</v>
      </c>
      <c r="B14" s="8" t="s">
        <v>269</v>
      </c>
      <c r="C14" s="8" t="s">
        <v>42</v>
      </c>
      <c r="D14" s="8" t="s">
        <v>28</v>
      </c>
      <c r="E14" s="8" t="s">
        <v>33</v>
      </c>
      <c r="F14" s="8" t="s">
        <v>33</v>
      </c>
      <c r="G14" s="8" t="s">
        <v>249</v>
      </c>
      <c r="H14" s="8" t="s">
        <v>249</v>
      </c>
      <c r="I14" s="11">
        <v>325.39890709550622</v>
      </c>
      <c r="J14" s="11">
        <v>324.88432242009242</v>
      </c>
      <c r="K14" s="11">
        <v>410.73333333333329</v>
      </c>
      <c r="L14" s="11">
        <v>348.14720000000011</v>
      </c>
      <c r="M14" s="8" t="s">
        <v>255</v>
      </c>
      <c r="N14" s="8" t="s">
        <v>270</v>
      </c>
      <c r="O14" s="8" t="s">
        <v>271</v>
      </c>
      <c r="P14" s="8" t="s">
        <v>272</v>
      </c>
      <c r="Q14" s="11">
        <v>62.048170909885918</v>
      </c>
      <c r="R14" s="11">
        <v>63.51275377345894</v>
      </c>
    </row>
    <row r="15" spans="1:18" x14ac:dyDescent="0.25">
      <c r="A15" s="6">
        <v>51</v>
      </c>
      <c r="B15" s="6" t="s">
        <v>281</v>
      </c>
      <c r="C15" s="6" t="s">
        <v>42</v>
      </c>
      <c r="D15" s="6" t="s">
        <v>28</v>
      </c>
      <c r="E15" s="6" t="s">
        <v>29</v>
      </c>
      <c r="F15" s="6" t="s">
        <v>96</v>
      </c>
      <c r="G15" s="6" t="s">
        <v>122</v>
      </c>
      <c r="H15" s="6" t="s">
        <v>122</v>
      </c>
      <c r="I15" s="10">
        <v>153.67647670508151</v>
      </c>
      <c r="J15" s="10">
        <v>153.53074027842979</v>
      </c>
      <c r="K15" s="10">
        <v>265.81493333333327</v>
      </c>
      <c r="L15" s="10">
        <v>285.56666666666672</v>
      </c>
      <c r="M15" s="6" t="s">
        <v>282</v>
      </c>
      <c r="N15" s="6" t="s">
        <v>175</v>
      </c>
      <c r="O15" s="6" t="s">
        <v>124</v>
      </c>
      <c r="P15" s="6" t="s">
        <v>125</v>
      </c>
      <c r="Q15" s="10">
        <v>45.911373665924373</v>
      </c>
      <c r="R15" s="10">
        <v>41.347135164429552</v>
      </c>
    </row>
    <row r="16" spans="1:18" x14ac:dyDescent="0.25">
      <c r="A16" s="8">
        <v>52</v>
      </c>
      <c r="B16" s="8" t="s">
        <v>283</v>
      </c>
      <c r="C16" s="8" t="s">
        <v>42</v>
      </c>
      <c r="D16" s="8" t="s">
        <v>28</v>
      </c>
      <c r="E16" s="8" t="s">
        <v>29</v>
      </c>
      <c r="F16" s="8" t="s">
        <v>130</v>
      </c>
      <c r="G16" s="8" t="s">
        <v>154</v>
      </c>
      <c r="H16" s="8" t="s">
        <v>154</v>
      </c>
      <c r="I16" s="11">
        <v>151.56015677624401</v>
      </c>
      <c r="J16" s="11">
        <v>152.10930530550161</v>
      </c>
      <c r="K16" s="11">
        <v>263.95294999999999</v>
      </c>
      <c r="L16" s="11">
        <v>286.34036666666663</v>
      </c>
      <c r="M16" s="8" t="s">
        <v>284</v>
      </c>
      <c r="N16" s="8" t="s">
        <v>285</v>
      </c>
      <c r="O16" s="8" t="s">
        <v>156</v>
      </c>
      <c r="P16" s="8" t="s">
        <v>286</v>
      </c>
      <c r="Q16" s="11">
        <v>42.410120530327511</v>
      </c>
      <c r="R16" s="11">
        <v>36.293607322885208</v>
      </c>
    </row>
    <row r="17" spans="1:18" x14ac:dyDescent="0.25">
      <c r="A17" s="6">
        <v>53</v>
      </c>
      <c r="B17" s="6" t="s">
        <v>287</v>
      </c>
      <c r="C17" s="6" t="s">
        <v>42</v>
      </c>
      <c r="D17" s="6" t="s">
        <v>28</v>
      </c>
      <c r="E17" s="6" t="s">
        <v>31</v>
      </c>
      <c r="F17" s="6" t="s">
        <v>31</v>
      </c>
      <c r="G17" s="6" t="s">
        <v>235</v>
      </c>
      <c r="H17" s="6" t="s">
        <v>235</v>
      </c>
      <c r="I17" s="10">
        <v>325.4090582064992</v>
      </c>
      <c r="J17" s="10">
        <v>325.0956316318464</v>
      </c>
      <c r="K17" s="10">
        <v>353.84784999999999</v>
      </c>
      <c r="L17" s="10">
        <v>317.94676666666669</v>
      </c>
      <c r="M17" s="6" t="s">
        <v>239</v>
      </c>
      <c r="N17" s="6" t="s">
        <v>240</v>
      </c>
      <c r="O17" s="6" t="s">
        <v>236</v>
      </c>
      <c r="P17" s="6" t="s">
        <v>288</v>
      </c>
      <c r="Q17" s="10">
        <v>67.113187317822849</v>
      </c>
      <c r="R17" s="10">
        <v>62.785790581976698</v>
      </c>
    </row>
    <row r="18" spans="1:18" x14ac:dyDescent="0.25">
      <c r="A18" s="8">
        <v>54</v>
      </c>
      <c r="B18" s="8" t="s">
        <v>289</v>
      </c>
      <c r="C18" s="8" t="s">
        <v>42</v>
      </c>
      <c r="D18" s="8" t="s">
        <v>28</v>
      </c>
      <c r="E18" s="8" t="s">
        <v>33</v>
      </c>
      <c r="F18" s="8" t="s">
        <v>33</v>
      </c>
      <c r="G18" s="8" t="s">
        <v>260</v>
      </c>
      <c r="H18" s="8" t="s">
        <v>260</v>
      </c>
      <c r="I18" s="11">
        <v>324.46950740183598</v>
      </c>
      <c r="J18" s="11">
        <v>325.03344841128018</v>
      </c>
      <c r="K18" s="11">
        <v>417.36546666666669</v>
      </c>
      <c r="L18" s="11">
        <v>352.73333333333329</v>
      </c>
      <c r="M18" s="8" t="s">
        <v>278</v>
      </c>
      <c r="N18" s="8" t="s">
        <v>290</v>
      </c>
      <c r="O18" s="8" t="s">
        <v>261</v>
      </c>
      <c r="P18" s="8" t="s">
        <v>276</v>
      </c>
      <c r="Q18" s="11">
        <v>64.21541291915878</v>
      </c>
      <c r="R18" s="11">
        <v>59.707655911824418</v>
      </c>
    </row>
    <row r="21" spans="1:18" ht="27.95" customHeight="1" x14ac:dyDescent="0.25">
      <c r="A21" s="55" t="s">
        <v>326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8" ht="3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4" spans="1:18" ht="30" x14ac:dyDescent="0.25">
      <c r="A24" s="9" t="s">
        <v>59</v>
      </c>
      <c r="B24" s="9" t="s">
        <v>60</v>
      </c>
      <c r="C24" s="9" t="s">
        <v>292</v>
      </c>
      <c r="D24" s="9" t="s">
        <v>24</v>
      </c>
      <c r="E24" s="9" t="s">
        <v>61</v>
      </c>
      <c r="F24" s="9" t="s">
        <v>62</v>
      </c>
      <c r="G24" s="9" t="s">
        <v>293</v>
      </c>
      <c r="H24" s="9" t="s">
        <v>294</v>
      </c>
      <c r="I24" s="9" t="s">
        <v>295</v>
      </c>
      <c r="J24" s="9" t="s">
        <v>296</v>
      </c>
      <c r="K24" s="9" t="s">
        <v>297</v>
      </c>
      <c r="L24" s="9" t="s">
        <v>298</v>
      </c>
      <c r="M24" s="9" t="s">
        <v>299</v>
      </c>
    </row>
    <row r="25" spans="1:18" x14ac:dyDescent="0.25">
      <c r="A25" s="6">
        <v>4</v>
      </c>
      <c r="B25" s="6" t="s">
        <v>95</v>
      </c>
      <c r="C25" s="6" t="s">
        <v>300</v>
      </c>
      <c r="D25" s="6" t="s">
        <v>28</v>
      </c>
      <c r="E25" s="6" t="s">
        <v>29</v>
      </c>
      <c r="F25" s="6" t="s">
        <v>96</v>
      </c>
      <c r="G25" s="10">
        <v>0</v>
      </c>
      <c r="H25" s="10">
        <v>25.883333333333329</v>
      </c>
      <c r="I25" s="10">
        <v>8.15</v>
      </c>
      <c r="J25" s="10">
        <v>8.0166666666666675</v>
      </c>
      <c r="K25" s="10">
        <v>55.883333333333333</v>
      </c>
      <c r="L25" s="10">
        <v>40.116666666666667</v>
      </c>
      <c r="M25" s="10">
        <v>102.3936333333333</v>
      </c>
    </row>
    <row r="26" spans="1:18" x14ac:dyDescent="0.25">
      <c r="A26" s="8">
        <v>4</v>
      </c>
      <c r="B26" s="8" t="s">
        <v>95</v>
      </c>
      <c r="C26" s="8" t="s">
        <v>301</v>
      </c>
      <c r="D26" s="8" t="s">
        <v>28</v>
      </c>
      <c r="E26" s="8" t="s">
        <v>29</v>
      </c>
      <c r="F26" s="8" t="s">
        <v>96</v>
      </c>
      <c r="G26" s="11">
        <v>0</v>
      </c>
      <c r="H26" s="11">
        <v>69.483333333333334</v>
      </c>
      <c r="I26" s="11">
        <v>9.9499999999999993</v>
      </c>
      <c r="J26" s="11">
        <v>1.716666666666667</v>
      </c>
      <c r="K26" s="11">
        <v>25.133333333333329</v>
      </c>
      <c r="L26" s="11">
        <v>23.43333333333333</v>
      </c>
      <c r="M26" s="11">
        <v>144.6333333333333</v>
      </c>
    </row>
    <row r="27" spans="1:18" x14ac:dyDescent="0.25">
      <c r="A27" s="6">
        <v>11</v>
      </c>
      <c r="B27" s="6" t="s">
        <v>129</v>
      </c>
      <c r="C27" s="6" t="s">
        <v>300</v>
      </c>
      <c r="D27" s="6" t="s">
        <v>28</v>
      </c>
      <c r="E27" s="6" t="s">
        <v>29</v>
      </c>
      <c r="F27" s="6" t="s">
        <v>130</v>
      </c>
      <c r="G27" s="10">
        <v>0</v>
      </c>
      <c r="H27" s="10">
        <v>43.485533333333343</v>
      </c>
      <c r="I27" s="10">
        <v>7.55</v>
      </c>
      <c r="J27" s="10">
        <v>4.0999999999999996</v>
      </c>
      <c r="K27" s="10">
        <v>52.5</v>
      </c>
      <c r="L27" s="10">
        <v>37.471449999999997</v>
      </c>
      <c r="M27" s="10">
        <v>96.266666666666666</v>
      </c>
    </row>
    <row r="28" spans="1:18" x14ac:dyDescent="0.25">
      <c r="A28" s="8">
        <v>11</v>
      </c>
      <c r="B28" s="8" t="s">
        <v>129</v>
      </c>
      <c r="C28" s="8" t="s">
        <v>301</v>
      </c>
      <c r="D28" s="8" t="s">
        <v>28</v>
      </c>
      <c r="E28" s="8" t="s">
        <v>29</v>
      </c>
      <c r="F28" s="8" t="s">
        <v>130</v>
      </c>
      <c r="G28" s="11">
        <v>0</v>
      </c>
      <c r="H28" s="11">
        <v>36.983333333333327</v>
      </c>
      <c r="I28" s="11">
        <v>4.5</v>
      </c>
      <c r="J28" s="11">
        <v>1.6166666666666669</v>
      </c>
      <c r="K28" s="11">
        <v>42.43333333333333</v>
      </c>
      <c r="L28" s="11">
        <v>34.950000000000003</v>
      </c>
      <c r="M28" s="11">
        <v>121.1324333333333</v>
      </c>
    </row>
    <row r="29" spans="1:18" x14ac:dyDescent="0.25">
      <c r="A29" s="6">
        <v>18</v>
      </c>
      <c r="B29" s="6" t="s">
        <v>162</v>
      </c>
      <c r="C29" s="6" t="s">
        <v>300</v>
      </c>
      <c r="D29" s="6" t="s">
        <v>28</v>
      </c>
      <c r="E29" s="6" t="s">
        <v>29</v>
      </c>
      <c r="F29" s="6" t="s">
        <v>96</v>
      </c>
      <c r="G29" s="10">
        <v>0</v>
      </c>
      <c r="H29" s="10">
        <v>30.18333333333333</v>
      </c>
      <c r="I29" s="10">
        <v>12.0548</v>
      </c>
      <c r="J29" s="10">
        <v>2.1</v>
      </c>
      <c r="K29" s="10">
        <v>43.833333333333343</v>
      </c>
      <c r="L29" s="10">
        <v>30.25</v>
      </c>
      <c r="M29" s="10">
        <v>87.221950000000007</v>
      </c>
    </row>
    <row r="30" spans="1:18" x14ac:dyDescent="0.25">
      <c r="A30" s="8">
        <v>18</v>
      </c>
      <c r="B30" s="8" t="s">
        <v>162</v>
      </c>
      <c r="C30" s="8" t="s">
        <v>301</v>
      </c>
      <c r="D30" s="8" t="s">
        <v>28</v>
      </c>
      <c r="E30" s="8" t="s">
        <v>29</v>
      </c>
      <c r="F30" s="8" t="s">
        <v>96</v>
      </c>
      <c r="G30" s="11">
        <v>0</v>
      </c>
      <c r="H30" s="11">
        <v>31.8</v>
      </c>
      <c r="I30" s="11">
        <v>0</v>
      </c>
      <c r="J30" s="11">
        <v>1.5</v>
      </c>
      <c r="K30" s="11">
        <v>30.466666666666669</v>
      </c>
      <c r="L30" s="11">
        <v>23</v>
      </c>
      <c r="M30" s="11">
        <v>134.3833333333333</v>
      </c>
    </row>
    <row r="31" spans="1:18" x14ac:dyDescent="0.25">
      <c r="A31" s="6">
        <v>23</v>
      </c>
      <c r="B31" s="6" t="s">
        <v>176</v>
      </c>
      <c r="C31" s="6" t="s">
        <v>300</v>
      </c>
      <c r="D31" s="6" t="s">
        <v>28</v>
      </c>
      <c r="E31" s="6" t="s">
        <v>29</v>
      </c>
      <c r="F31" s="6" t="s">
        <v>130</v>
      </c>
      <c r="G31" s="10">
        <v>0</v>
      </c>
      <c r="H31" s="10">
        <v>24.65</v>
      </c>
      <c r="I31" s="10">
        <v>10.13448333333333</v>
      </c>
      <c r="J31" s="10">
        <v>2.1</v>
      </c>
      <c r="K31" s="10">
        <v>53.916666666666657</v>
      </c>
      <c r="L31" s="10">
        <v>40.75</v>
      </c>
      <c r="M31" s="10">
        <v>91.5</v>
      </c>
    </row>
    <row r="32" spans="1:18" x14ac:dyDescent="0.25">
      <c r="A32" s="8">
        <v>23</v>
      </c>
      <c r="B32" s="8" t="s">
        <v>176</v>
      </c>
      <c r="C32" s="8" t="s">
        <v>301</v>
      </c>
      <c r="D32" s="8" t="s">
        <v>28</v>
      </c>
      <c r="E32" s="8" t="s">
        <v>29</v>
      </c>
      <c r="F32" s="8" t="s">
        <v>130</v>
      </c>
      <c r="G32" s="11">
        <v>0</v>
      </c>
      <c r="H32" s="11">
        <v>23.716666666666669</v>
      </c>
      <c r="I32" s="11">
        <v>4.4333333333333336</v>
      </c>
      <c r="J32" s="11">
        <v>9.5500000000000007</v>
      </c>
      <c r="K32" s="11">
        <v>50.65</v>
      </c>
      <c r="L32" s="11">
        <v>34.233333333333327</v>
      </c>
      <c r="M32" s="11">
        <v>109.3</v>
      </c>
    </row>
    <row r="33" spans="1:13" x14ac:dyDescent="0.25">
      <c r="A33" s="6">
        <v>28</v>
      </c>
      <c r="B33" s="6" t="s">
        <v>188</v>
      </c>
      <c r="C33" s="6" t="s">
        <v>300</v>
      </c>
      <c r="D33" s="6" t="s">
        <v>28</v>
      </c>
      <c r="E33" s="6" t="s">
        <v>29</v>
      </c>
      <c r="F33" s="6" t="s">
        <v>96</v>
      </c>
      <c r="G33" s="10">
        <v>0</v>
      </c>
      <c r="H33" s="10">
        <v>8.9333333333333336</v>
      </c>
      <c r="I33" s="10">
        <v>5.4188666666666672</v>
      </c>
      <c r="J33" s="10">
        <v>0</v>
      </c>
      <c r="K33" s="10">
        <v>46.883333333333333</v>
      </c>
      <c r="L33" s="10">
        <v>35.666666666666657</v>
      </c>
      <c r="M33" s="10">
        <v>98.5</v>
      </c>
    </row>
    <row r="34" spans="1:13" x14ac:dyDescent="0.25">
      <c r="A34" s="8">
        <v>28</v>
      </c>
      <c r="B34" s="8" t="s">
        <v>188</v>
      </c>
      <c r="C34" s="8" t="s">
        <v>301</v>
      </c>
      <c r="D34" s="8" t="s">
        <v>28</v>
      </c>
      <c r="E34" s="8" t="s">
        <v>29</v>
      </c>
      <c r="F34" s="8" t="s">
        <v>96</v>
      </c>
      <c r="G34" s="11">
        <v>0</v>
      </c>
      <c r="H34" s="11">
        <v>71.083333333333329</v>
      </c>
      <c r="I34" s="11">
        <v>4.05</v>
      </c>
      <c r="J34" s="11">
        <v>9.2465500000000009</v>
      </c>
      <c r="K34" s="11">
        <v>38.68333333333333</v>
      </c>
      <c r="L34" s="11">
        <v>26.81666666666667</v>
      </c>
      <c r="M34" s="11">
        <v>116.98333333333331</v>
      </c>
    </row>
    <row r="35" spans="1:13" x14ac:dyDescent="0.25">
      <c r="A35" s="6">
        <v>31</v>
      </c>
      <c r="B35" s="6" t="s">
        <v>198</v>
      </c>
      <c r="C35" s="6" t="s">
        <v>300</v>
      </c>
      <c r="D35" s="6" t="s">
        <v>28</v>
      </c>
      <c r="E35" s="6" t="s">
        <v>29</v>
      </c>
      <c r="F35" s="6" t="s">
        <v>130</v>
      </c>
      <c r="G35" s="10">
        <v>0</v>
      </c>
      <c r="H35" s="10">
        <v>29.483333333333331</v>
      </c>
      <c r="I35" s="10">
        <v>0.1105833333333333</v>
      </c>
      <c r="J35" s="10">
        <v>5.2666666666666666</v>
      </c>
      <c r="K35" s="10">
        <v>45.483333333333327</v>
      </c>
      <c r="L35" s="10">
        <v>28.733333333333331</v>
      </c>
      <c r="M35" s="10">
        <v>78.575700000000012</v>
      </c>
    </row>
    <row r="36" spans="1:13" x14ac:dyDescent="0.25">
      <c r="A36" s="8">
        <v>31</v>
      </c>
      <c r="B36" s="8" t="s">
        <v>198</v>
      </c>
      <c r="C36" s="8" t="s">
        <v>301</v>
      </c>
      <c r="D36" s="8" t="s">
        <v>28</v>
      </c>
      <c r="E36" s="8" t="s">
        <v>29</v>
      </c>
      <c r="F36" s="8" t="s">
        <v>130</v>
      </c>
      <c r="G36" s="11">
        <v>0</v>
      </c>
      <c r="H36" s="11">
        <v>21.383333333333329</v>
      </c>
      <c r="I36" s="11">
        <v>1</v>
      </c>
      <c r="J36" s="11">
        <v>0</v>
      </c>
      <c r="K36" s="11">
        <v>39.18333333333333</v>
      </c>
      <c r="L36" s="11">
        <v>30.466666666666669</v>
      </c>
      <c r="M36" s="11">
        <v>102.92506666666669</v>
      </c>
    </row>
    <row r="37" spans="1:13" x14ac:dyDescent="0.25">
      <c r="A37" s="6">
        <v>37</v>
      </c>
      <c r="B37" s="6" t="s">
        <v>218</v>
      </c>
      <c r="C37" s="6" t="s">
        <v>300</v>
      </c>
      <c r="D37" s="6" t="s">
        <v>28</v>
      </c>
      <c r="E37" s="6" t="s">
        <v>35</v>
      </c>
      <c r="F37" s="6" t="s">
        <v>76</v>
      </c>
      <c r="G37" s="10">
        <v>20.983333333333331</v>
      </c>
      <c r="H37" s="10">
        <v>3.666666666666667</v>
      </c>
      <c r="I37" s="10">
        <v>3.0333333333333332</v>
      </c>
      <c r="J37" s="10">
        <v>7.2833333333333332</v>
      </c>
      <c r="K37" s="10">
        <v>33.003716666666669</v>
      </c>
      <c r="L37" s="10">
        <v>29.65</v>
      </c>
      <c r="M37" s="10">
        <v>163.76666666666671</v>
      </c>
    </row>
    <row r="38" spans="1:13" x14ac:dyDescent="0.25">
      <c r="A38" s="8">
        <v>37</v>
      </c>
      <c r="B38" s="8" t="s">
        <v>218</v>
      </c>
      <c r="C38" s="8" t="s">
        <v>301</v>
      </c>
      <c r="D38" s="8" t="s">
        <v>28</v>
      </c>
      <c r="E38" s="8" t="s">
        <v>35</v>
      </c>
      <c r="F38" s="8" t="s">
        <v>76</v>
      </c>
      <c r="G38" s="11">
        <v>0</v>
      </c>
      <c r="H38" s="11">
        <v>16.43333333333333</v>
      </c>
      <c r="I38" s="11">
        <v>6.3166666666666664</v>
      </c>
      <c r="J38" s="11">
        <v>5</v>
      </c>
      <c r="K38" s="11">
        <v>46.8</v>
      </c>
      <c r="L38" s="11">
        <v>33.416666666666657</v>
      </c>
      <c r="M38" s="11">
        <v>136.9743</v>
      </c>
    </row>
    <row r="39" spans="1:13" x14ac:dyDescent="0.25">
      <c r="A39" s="6">
        <v>38</v>
      </c>
      <c r="B39" s="6" t="s">
        <v>223</v>
      </c>
      <c r="C39" s="6" t="s">
        <v>300</v>
      </c>
      <c r="D39" s="6" t="s">
        <v>28</v>
      </c>
      <c r="E39" s="6" t="s">
        <v>31</v>
      </c>
      <c r="F39" s="6" t="s">
        <v>31</v>
      </c>
      <c r="G39" s="10">
        <v>50.366666666666667</v>
      </c>
      <c r="H39" s="10">
        <v>8.3666666666666671</v>
      </c>
      <c r="I39" s="10">
        <v>17.350000000000001</v>
      </c>
      <c r="J39" s="10">
        <v>4.75</v>
      </c>
      <c r="K39" s="10">
        <v>75.683333333333337</v>
      </c>
      <c r="L39" s="10">
        <v>57.18333333333333</v>
      </c>
      <c r="M39" s="10">
        <v>181.3</v>
      </c>
    </row>
    <row r="40" spans="1:13" x14ac:dyDescent="0.25">
      <c r="A40" s="8">
        <v>38</v>
      </c>
      <c r="B40" s="8" t="s">
        <v>223</v>
      </c>
      <c r="C40" s="8" t="s">
        <v>301</v>
      </c>
      <c r="D40" s="8" t="s">
        <v>28</v>
      </c>
      <c r="E40" s="8" t="s">
        <v>31</v>
      </c>
      <c r="F40" s="8" t="s">
        <v>31</v>
      </c>
      <c r="G40" s="11">
        <v>0</v>
      </c>
      <c r="H40" s="11">
        <v>42.65</v>
      </c>
      <c r="I40" s="11">
        <v>4.45</v>
      </c>
      <c r="J40" s="11">
        <v>12.016666666666669</v>
      </c>
      <c r="K40" s="11">
        <v>57.411516666666657</v>
      </c>
      <c r="L40" s="11">
        <v>49.6</v>
      </c>
      <c r="M40" s="11">
        <v>208.83333333333329</v>
      </c>
    </row>
    <row r="41" spans="1:13" x14ac:dyDescent="0.25">
      <c r="A41" s="6">
        <v>42</v>
      </c>
      <c r="B41" s="6" t="s">
        <v>242</v>
      </c>
      <c r="C41" s="6" t="s">
        <v>300</v>
      </c>
      <c r="D41" s="6" t="s">
        <v>28</v>
      </c>
      <c r="E41" s="6" t="s">
        <v>33</v>
      </c>
      <c r="F41" s="6" t="s">
        <v>33</v>
      </c>
      <c r="G41" s="10">
        <v>63.2</v>
      </c>
      <c r="H41" s="10">
        <v>14.516666666666669</v>
      </c>
      <c r="I41" s="10">
        <v>29.516666666666669</v>
      </c>
      <c r="J41" s="10">
        <v>6.8833333333333337</v>
      </c>
      <c r="K41" s="10">
        <v>69.25</v>
      </c>
      <c r="L41" s="10">
        <v>57.887300000000003</v>
      </c>
      <c r="M41" s="10">
        <v>164.51666666666671</v>
      </c>
    </row>
    <row r="42" spans="1:13" x14ac:dyDescent="0.25">
      <c r="A42" s="8">
        <v>42</v>
      </c>
      <c r="B42" s="8" t="s">
        <v>242</v>
      </c>
      <c r="C42" s="8" t="s">
        <v>301</v>
      </c>
      <c r="D42" s="8" t="s">
        <v>28</v>
      </c>
      <c r="E42" s="8" t="s">
        <v>33</v>
      </c>
      <c r="F42" s="8" t="s">
        <v>33</v>
      </c>
      <c r="G42" s="11">
        <v>0</v>
      </c>
      <c r="H42" s="11">
        <v>20.583333333333329</v>
      </c>
      <c r="I42" s="11">
        <v>2.833333333333333</v>
      </c>
      <c r="J42" s="11">
        <v>4</v>
      </c>
      <c r="K42" s="11">
        <v>45.56666666666667</v>
      </c>
      <c r="L42" s="11">
        <v>33.783333333333331</v>
      </c>
      <c r="M42" s="11">
        <v>218.63815</v>
      </c>
    </row>
    <row r="43" spans="1:13" x14ac:dyDescent="0.25">
      <c r="A43" s="6">
        <v>48</v>
      </c>
      <c r="B43" s="6" t="s">
        <v>269</v>
      </c>
      <c r="C43" s="6" t="s">
        <v>300</v>
      </c>
      <c r="D43" s="6" t="s">
        <v>28</v>
      </c>
      <c r="E43" s="6" t="s">
        <v>33</v>
      </c>
      <c r="F43" s="6" t="s">
        <v>33</v>
      </c>
      <c r="G43" s="10">
        <v>0</v>
      </c>
      <c r="H43" s="10">
        <v>65.983333333333334</v>
      </c>
      <c r="I43" s="10">
        <v>30.533333333333331</v>
      </c>
      <c r="J43" s="10">
        <v>6.3833333333333337</v>
      </c>
      <c r="K43" s="10">
        <v>76.566666666666663</v>
      </c>
      <c r="L43" s="10">
        <v>59.983333333333327</v>
      </c>
      <c r="M43" s="10">
        <v>171.2833333333333</v>
      </c>
    </row>
    <row r="44" spans="1:13" x14ac:dyDescent="0.25">
      <c r="A44" s="8">
        <v>48</v>
      </c>
      <c r="B44" s="8" t="s">
        <v>269</v>
      </c>
      <c r="C44" s="8" t="s">
        <v>301</v>
      </c>
      <c r="D44" s="8" t="s">
        <v>28</v>
      </c>
      <c r="E44" s="8" t="s">
        <v>33</v>
      </c>
      <c r="F44" s="8" t="s">
        <v>33</v>
      </c>
      <c r="G44" s="11">
        <v>0</v>
      </c>
      <c r="H44" s="11">
        <v>35.4</v>
      </c>
      <c r="I44" s="11">
        <v>6.3166666666666664</v>
      </c>
      <c r="J44" s="11">
        <v>10.35</v>
      </c>
      <c r="K44" s="11">
        <v>65.8</v>
      </c>
      <c r="L44" s="11">
        <v>46.880533333333332</v>
      </c>
      <c r="M44" s="11">
        <v>183.4</v>
      </c>
    </row>
    <row r="45" spans="1:13" x14ac:dyDescent="0.25">
      <c r="A45" s="6">
        <v>51</v>
      </c>
      <c r="B45" s="6" t="s">
        <v>281</v>
      </c>
      <c r="C45" s="6" t="s">
        <v>300</v>
      </c>
      <c r="D45" s="6" t="s">
        <v>28</v>
      </c>
      <c r="E45" s="6" t="s">
        <v>29</v>
      </c>
      <c r="F45" s="6" t="s">
        <v>96</v>
      </c>
      <c r="G45" s="10">
        <v>0</v>
      </c>
      <c r="H45" s="10">
        <v>35.56666666666667</v>
      </c>
      <c r="I45" s="10">
        <v>30.984083333333331</v>
      </c>
      <c r="J45" s="10">
        <v>3.3</v>
      </c>
      <c r="K45" s="10">
        <v>67.480850000000004</v>
      </c>
      <c r="L45" s="10">
        <v>48.56666666666667</v>
      </c>
      <c r="M45" s="10">
        <v>79.916666666666671</v>
      </c>
    </row>
    <row r="46" spans="1:13" x14ac:dyDescent="0.25">
      <c r="A46" s="8">
        <v>51</v>
      </c>
      <c r="B46" s="8" t="s">
        <v>281</v>
      </c>
      <c r="C46" s="8" t="s">
        <v>301</v>
      </c>
      <c r="D46" s="8" t="s">
        <v>28</v>
      </c>
      <c r="E46" s="8" t="s">
        <v>29</v>
      </c>
      <c r="F46" s="8" t="s">
        <v>96</v>
      </c>
      <c r="G46" s="11">
        <v>0</v>
      </c>
      <c r="H46" s="11">
        <v>48.18333333333333</v>
      </c>
      <c r="I46" s="11">
        <v>17.666666666666671</v>
      </c>
      <c r="J46" s="11">
        <v>10.233333333333331</v>
      </c>
      <c r="K46" s="11">
        <v>51.033333333333331</v>
      </c>
      <c r="L46" s="11">
        <v>37.133333333333333</v>
      </c>
      <c r="M46" s="11">
        <v>121.31666666666671</v>
      </c>
    </row>
    <row r="47" spans="1:13" x14ac:dyDescent="0.25">
      <c r="A47" s="6">
        <v>52</v>
      </c>
      <c r="B47" s="6" t="s">
        <v>283</v>
      </c>
      <c r="C47" s="6" t="s">
        <v>300</v>
      </c>
      <c r="D47" s="6" t="s">
        <v>28</v>
      </c>
      <c r="E47" s="6" t="s">
        <v>29</v>
      </c>
      <c r="F47" s="6" t="s">
        <v>130</v>
      </c>
      <c r="G47" s="10">
        <v>0</v>
      </c>
      <c r="H47" s="10">
        <v>35.1</v>
      </c>
      <c r="I47" s="10">
        <v>15.116666666666671</v>
      </c>
      <c r="J47" s="10">
        <v>6.6</v>
      </c>
      <c r="K47" s="10">
        <v>73.302949999999996</v>
      </c>
      <c r="L47" s="10">
        <v>55.483333333333327</v>
      </c>
      <c r="M47" s="10">
        <v>78.349999999999994</v>
      </c>
    </row>
    <row r="48" spans="1:13" x14ac:dyDescent="0.25">
      <c r="A48" s="8">
        <v>52</v>
      </c>
      <c r="B48" s="8" t="s">
        <v>283</v>
      </c>
      <c r="C48" s="8" t="s">
        <v>301</v>
      </c>
      <c r="D48" s="8" t="s">
        <v>28</v>
      </c>
      <c r="E48" s="8" t="s">
        <v>29</v>
      </c>
      <c r="F48" s="8" t="s">
        <v>130</v>
      </c>
      <c r="G48" s="11">
        <v>0</v>
      </c>
      <c r="H48" s="11">
        <v>26.333333333333329</v>
      </c>
      <c r="I48" s="11">
        <v>10.016666666666669</v>
      </c>
      <c r="J48" s="11">
        <v>14.15</v>
      </c>
      <c r="K48" s="11">
        <v>51.266666666666673</v>
      </c>
      <c r="L48" s="11">
        <v>41.040366666666657</v>
      </c>
      <c r="M48" s="11">
        <v>143.5333333333333</v>
      </c>
    </row>
    <row r="49" spans="1:13" x14ac:dyDescent="0.25">
      <c r="A49" s="6">
        <v>53</v>
      </c>
      <c r="B49" s="6" t="s">
        <v>287</v>
      </c>
      <c r="C49" s="6" t="s">
        <v>300</v>
      </c>
      <c r="D49" s="6" t="s">
        <v>28</v>
      </c>
      <c r="E49" s="6" t="s">
        <v>31</v>
      </c>
      <c r="F49" s="6" t="s">
        <v>31</v>
      </c>
      <c r="G49" s="10">
        <v>44.68333333333333</v>
      </c>
      <c r="H49" s="10">
        <v>6.6833333333333336</v>
      </c>
      <c r="I49" s="10">
        <v>11.75</v>
      </c>
      <c r="J49" s="10">
        <v>2.0166666666666671</v>
      </c>
      <c r="K49" s="10">
        <v>64.3</v>
      </c>
      <c r="L49" s="10">
        <v>51.866666666666667</v>
      </c>
      <c r="M49" s="10">
        <v>172.54785000000001</v>
      </c>
    </row>
    <row r="50" spans="1:13" x14ac:dyDescent="0.25">
      <c r="A50" s="8">
        <v>53</v>
      </c>
      <c r="B50" s="8" t="s">
        <v>287</v>
      </c>
      <c r="C50" s="8" t="s">
        <v>301</v>
      </c>
      <c r="D50" s="8" t="s">
        <v>28</v>
      </c>
      <c r="E50" s="8" t="s">
        <v>31</v>
      </c>
      <c r="F50" s="8" t="s">
        <v>31</v>
      </c>
      <c r="G50" s="11">
        <v>0</v>
      </c>
      <c r="H50" s="11">
        <v>3.0166666666666671</v>
      </c>
      <c r="I50" s="11">
        <v>4.3</v>
      </c>
      <c r="J50" s="11">
        <v>1.8833333333333331</v>
      </c>
      <c r="K50" s="11">
        <v>48.913433333333337</v>
      </c>
      <c r="L50" s="11">
        <v>35.333333333333343</v>
      </c>
      <c r="M50" s="11">
        <v>224.5</v>
      </c>
    </row>
    <row r="51" spans="1:13" x14ac:dyDescent="0.25">
      <c r="A51" s="6">
        <v>54</v>
      </c>
      <c r="B51" s="6" t="s">
        <v>289</v>
      </c>
      <c r="C51" s="6" t="s">
        <v>300</v>
      </c>
      <c r="D51" s="6" t="s">
        <v>28</v>
      </c>
      <c r="E51" s="6" t="s">
        <v>33</v>
      </c>
      <c r="F51" s="6" t="s">
        <v>33</v>
      </c>
      <c r="G51" s="10">
        <v>34.833333333333343</v>
      </c>
      <c r="H51" s="10">
        <v>58.166666666666657</v>
      </c>
      <c r="I51" s="10">
        <v>21.679983333333329</v>
      </c>
      <c r="J51" s="10">
        <v>8</v>
      </c>
      <c r="K51" s="10">
        <v>64.5</v>
      </c>
      <c r="L51" s="10">
        <v>53.652149999999999</v>
      </c>
      <c r="M51" s="10">
        <v>176.5333333333333</v>
      </c>
    </row>
    <row r="52" spans="1:13" x14ac:dyDescent="0.25">
      <c r="A52" s="8">
        <v>54</v>
      </c>
      <c r="B52" s="8" t="s">
        <v>289</v>
      </c>
      <c r="C52" s="8" t="s">
        <v>301</v>
      </c>
      <c r="D52" s="8" t="s">
        <v>28</v>
      </c>
      <c r="E52" s="8" t="s">
        <v>33</v>
      </c>
      <c r="F52" s="8" t="s">
        <v>33</v>
      </c>
      <c r="G52" s="11">
        <v>0</v>
      </c>
      <c r="H52" s="11">
        <v>24.31666666666667</v>
      </c>
      <c r="I52" s="11">
        <v>2.666666666666667</v>
      </c>
      <c r="J52" s="11">
        <v>5.6833333333333336</v>
      </c>
      <c r="K52" s="11">
        <v>44.466666666666669</v>
      </c>
      <c r="L52" s="11">
        <v>32.450000000000003</v>
      </c>
      <c r="M52" s="11">
        <v>243.15</v>
      </c>
    </row>
    <row r="55" spans="1:13" ht="27.95" customHeight="1" x14ac:dyDescent="0.25">
      <c r="A55" s="55" t="s">
        <v>327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</row>
    <row r="56" spans="1:13" ht="3.9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8" spans="1:13" ht="30" x14ac:dyDescent="0.25">
      <c r="A58" s="9" t="s">
        <v>59</v>
      </c>
      <c r="B58" s="9" t="s">
        <v>60</v>
      </c>
      <c r="C58" s="9" t="s">
        <v>292</v>
      </c>
      <c r="D58" s="9" t="s">
        <v>24</v>
      </c>
      <c r="E58" s="9" t="s">
        <v>61</v>
      </c>
      <c r="F58" s="9" t="s">
        <v>62</v>
      </c>
      <c r="G58" s="9" t="s">
        <v>293</v>
      </c>
      <c r="H58" s="9" t="s">
        <v>294</v>
      </c>
      <c r="I58" s="9" t="s">
        <v>295</v>
      </c>
      <c r="J58" s="9" t="s">
        <v>296</v>
      </c>
      <c r="K58" s="9" t="s">
        <v>297</v>
      </c>
      <c r="L58" s="9" t="s">
        <v>298</v>
      </c>
      <c r="M58" s="9" t="s">
        <v>299</v>
      </c>
    </row>
    <row r="59" spans="1:13" x14ac:dyDescent="0.25">
      <c r="A59" s="6">
        <v>4</v>
      </c>
      <c r="B59" s="6" t="s">
        <v>95</v>
      </c>
      <c r="C59" s="6" t="s">
        <v>300</v>
      </c>
      <c r="D59" s="6" t="s">
        <v>28</v>
      </c>
      <c r="E59" s="6" t="s">
        <v>29</v>
      </c>
      <c r="F59" s="6" t="s">
        <v>96</v>
      </c>
      <c r="G59" s="10">
        <v>0</v>
      </c>
      <c r="H59" s="10">
        <v>0.35568686098748031</v>
      </c>
      <c r="I59" s="10">
        <v>0.57585003194744566</v>
      </c>
      <c r="J59" s="10">
        <v>0.62657519758941227</v>
      </c>
      <c r="K59" s="10">
        <v>44.777394576317398</v>
      </c>
      <c r="L59" s="10">
        <v>31.030770141318762</v>
      </c>
      <c r="M59" s="10">
        <v>70.832492215617009</v>
      </c>
    </row>
    <row r="60" spans="1:13" x14ac:dyDescent="0.25">
      <c r="A60" s="8">
        <v>4</v>
      </c>
      <c r="B60" s="8" t="s">
        <v>95</v>
      </c>
      <c r="C60" s="8" t="s">
        <v>301</v>
      </c>
      <c r="D60" s="8" t="s">
        <v>28</v>
      </c>
      <c r="E60" s="8" t="s">
        <v>29</v>
      </c>
      <c r="F60" s="8" t="s">
        <v>96</v>
      </c>
      <c r="G60" s="11">
        <v>0</v>
      </c>
      <c r="H60" s="11">
        <v>0.83987814360898194</v>
      </c>
      <c r="I60" s="11">
        <v>1.7979996304002079</v>
      </c>
      <c r="J60" s="11">
        <v>0.57590785271071809</v>
      </c>
      <c r="K60" s="11">
        <v>16.043682536598411</v>
      </c>
      <c r="L60" s="11">
        <v>16.779596658523619</v>
      </c>
      <c r="M60" s="11">
        <v>112.0883548622644</v>
      </c>
    </row>
    <row r="61" spans="1:13" x14ac:dyDescent="0.25">
      <c r="A61" s="6">
        <v>11</v>
      </c>
      <c r="B61" s="6" t="s">
        <v>129</v>
      </c>
      <c r="C61" s="6" t="s">
        <v>300</v>
      </c>
      <c r="D61" s="6" t="s">
        <v>28</v>
      </c>
      <c r="E61" s="6" t="s">
        <v>29</v>
      </c>
      <c r="F61" s="6" t="s">
        <v>130</v>
      </c>
      <c r="G61" s="10">
        <v>0</v>
      </c>
      <c r="H61" s="10">
        <v>1.3321013582624259</v>
      </c>
      <c r="I61" s="10">
        <v>0.75410540916294477</v>
      </c>
      <c r="J61" s="10">
        <v>0.43943113160824449</v>
      </c>
      <c r="K61" s="10">
        <v>42.768056236857731</v>
      </c>
      <c r="L61" s="10">
        <v>29.775024172432051</v>
      </c>
      <c r="M61" s="10">
        <v>68.609609149335569</v>
      </c>
    </row>
    <row r="62" spans="1:13" x14ac:dyDescent="0.25">
      <c r="A62" s="8">
        <v>11</v>
      </c>
      <c r="B62" s="8" t="s">
        <v>129</v>
      </c>
      <c r="C62" s="8" t="s">
        <v>301</v>
      </c>
      <c r="D62" s="8" t="s">
        <v>28</v>
      </c>
      <c r="E62" s="8" t="s">
        <v>29</v>
      </c>
      <c r="F62" s="8" t="s">
        <v>130</v>
      </c>
      <c r="G62" s="11">
        <v>0</v>
      </c>
      <c r="H62" s="11">
        <v>0.43407803900839542</v>
      </c>
      <c r="I62" s="11">
        <v>2.0389552164336071</v>
      </c>
      <c r="J62" s="11">
        <v>0.27011205530314503</v>
      </c>
      <c r="K62" s="11">
        <v>30.597979144685119</v>
      </c>
      <c r="L62" s="11">
        <v>25.113544257186629</v>
      </c>
      <c r="M62" s="11">
        <v>85.251434402970759</v>
      </c>
    </row>
    <row r="63" spans="1:13" x14ac:dyDescent="0.25">
      <c r="A63" s="6">
        <v>18</v>
      </c>
      <c r="B63" s="6" t="s">
        <v>162</v>
      </c>
      <c r="C63" s="6" t="s">
        <v>300</v>
      </c>
      <c r="D63" s="6" t="s">
        <v>28</v>
      </c>
      <c r="E63" s="6" t="s">
        <v>29</v>
      </c>
      <c r="F63" s="6" t="s">
        <v>96</v>
      </c>
      <c r="G63" s="10">
        <v>0</v>
      </c>
      <c r="H63" s="10">
        <v>0.38306581509713777</v>
      </c>
      <c r="I63" s="10">
        <v>2.078327234216284</v>
      </c>
      <c r="J63" s="10">
        <v>0.20461421027387261</v>
      </c>
      <c r="K63" s="10">
        <v>36.808470594235978</v>
      </c>
      <c r="L63" s="10">
        <v>24.895439135578741</v>
      </c>
      <c r="M63" s="10">
        <v>77.229137978621239</v>
      </c>
    </row>
    <row r="64" spans="1:13" x14ac:dyDescent="0.25">
      <c r="A64" s="8">
        <v>18</v>
      </c>
      <c r="B64" s="8" t="s">
        <v>162</v>
      </c>
      <c r="C64" s="8" t="s">
        <v>301</v>
      </c>
      <c r="D64" s="8" t="s">
        <v>28</v>
      </c>
      <c r="E64" s="8" t="s">
        <v>29</v>
      </c>
      <c r="F64" s="8" t="s">
        <v>96</v>
      </c>
      <c r="G64" s="11">
        <v>0</v>
      </c>
      <c r="H64" s="11">
        <v>0.22156090055420241</v>
      </c>
      <c r="I64" s="11">
        <v>0</v>
      </c>
      <c r="J64" s="11">
        <v>0.11647473715777031</v>
      </c>
      <c r="K64" s="11">
        <v>21.52025885865341</v>
      </c>
      <c r="L64" s="11">
        <v>17.069852156212249</v>
      </c>
      <c r="M64" s="11">
        <v>102.738159054381</v>
      </c>
    </row>
    <row r="65" spans="1:13" x14ac:dyDescent="0.25">
      <c r="A65" s="6">
        <v>23</v>
      </c>
      <c r="B65" s="6" t="s">
        <v>176</v>
      </c>
      <c r="C65" s="6" t="s">
        <v>300</v>
      </c>
      <c r="D65" s="6" t="s">
        <v>28</v>
      </c>
      <c r="E65" s="6" t="s">
        <v>29</v>
      </c>
      <c r="F65" s="6" t="s">
        <v>130</v>
      </c>
      <c r="G65" s="10">
        <v>0</v>
      </c>
      <c r="H65" s="10">
        <v>0.34290254186703961</v>
      </c>
      <c r="I65" s="10">
        <v>1.0454776733830049</v>
      </c>
      <c r="J65" s="10">
        <v>0.40432001006129498</v>
      </c>
      <c r="K65" s="10">
        <v>41.471081570571563</v>
      </c>
      <c r="L65" s="10">
        <v>30.614880435193118</v>
      </c>
      <c r="M65" s="10">
        <v>63.969189047693213</v>
      </c>
    </row>
    <row r="66" spans="1:13" x14ac:dyDescent="0.25">
      <c r="A66" s="8">
        <v>23</v>
      </c>
      <c r="B66" s="8" t="s">
        <v>176</v>
      </c>
      <c r="C66" s="8" t="s">
        <v>301</v>
      </c>
      <c r="D66" s="8" t="s">
        <v>28</v>
      </c>
      <c r="E66" s="8" t="s">
        <v>29</v>
      </c>
      <c r="F66" s="8" t="s">
        <v>130</v>
      </c>
      <c r="G66" s="11">
        <v>0</v>
      </c>
      <c r="H66" s="11">
        <v>0.11699904226004509</v>
      </c>
      <c r="I66" s="11">
        <v>0.98289890323061291</v>
      </c>
      <c r="J66" s="11">
        <v>0.76496157447860036</v>
      </c>
      <c r="K66" s="11">
        <v>36.712209444916184</v>
      </c>
      <c r="L66" s="11">
        <v>25.040527354235781</v>
      </c>
      <c r="M66" s="11">
        <v>74.293641117732662</v>
      </c>
    </row>
    <row r="67" spans="1:13" x14ac:dyDescent="0.25">
      <c r="A67" s="6">
        <v>28</v>
      </c>
      <c r="B67" s="6" t="s">
        <v>188</v>
      </c>
      <c r="C67" s="6" t="s">
        <v>300</v>
      </c>
      <c r="D67" s="6" t="s">
        <v>28</v>
      </c>
      <c r="E67" s="6" t="s">
        <v>29</v>
      </c>
      <c r="F67" s="6" t="s">
        <v>96</v>
      </c>
      <c r="G67" s="10">
        <v>0</v>
      </c>
      <c r="H67" s="10">
        <v>0.25917593164792052</v>
      </c>
      <c r="I67" s="10">
        <v>0.70863313939923567</v>
      </c>
      <c r="J67" s="10">
        <v>0</v>
      </c>
      <c r="K67" s="10">
        <v>37.603304668082593</v>
      </c>
      <c r="L67" s="10">
        <v>27.74280476419689</v>
      </c>
      <c r="M67" s="10">
        <v>79.592523770954102</v>
      </c>
    </row>
    <row r="68" spans="1:13" x14ac:dyDescent="0.25">
      <c r="A68" s="8">
        <v>28</v>
      </c>
      <c r="B68" s="8" t="s">
        <v>188</v>
      </c>
      <c r="C68" s="8" t="s">
        <v>301</v>
      </c>
      <c r="D68" s="8" t="s">
        <v>28</v>
      </c>
      <c r="E68" s="8" t="s">
        <v>29</v>
      </c>
      <c r="F68" s="8" t="s">
        <v>96</v>
      </c>
      <c r="G68" s="11">
        <v>0</v>
      </c>
      <c r="H68" s="11">
        <v>0.54905123843358739</v>
      </c>
      <c r="I68" s="11">
        <v>0.55256306869115623</v>
      </c>
      <c r="J68" s="11">
        <v>0.82406643556007364</v>
      </c>
      <c r="K68" s="11">
        <v>27.609909695058061</v>
      </c>
      <c r="L68" s="11">
        <v>19.892928271907479</v>
      </c>
      <c r="M68" s="11">
        <v>96.565811989808935</v>
      </c>
    </row>
    <row r="69" spans="1:13" x14ac:dyDescent="0.25">
      <c r="A69" s="6">
        <v>31</v>
      </c>
      <c r="B69" s="6" t="s">
        <v>198</v>
      </c>
      <c r="C69" s="6" t="s">
        <v>300</v>
      </c>
      <c r="D69" s="6" t="s">
        <v>28</v>
      </c>
      <c r="E69" s="6" t="s">
        <v>29</v>
      </c>
      <c r="F69" s="6" t="s">
        <v>130</v>
      </c>
      <c r="G69" s="10">
        <v>0</v>
      </c>
      <c r="H69" s="10">
        <v>0.42983924609536989</v>
      </c>
      <c r="I69" s="10">
        <v>5.8482869291778893E-2</v>
      </c>
      <c r="J69" s="10">
        <v>0.35482326921949731</v>
      </c>
      <c r="K69" s="10">
        <v>37.109061687706358</v>
      </c>
      <c r="L69" s="10">
        <v>23.384143051110669</v>
      </c>
      <c r="M69" s="10">
        <v>62.656294523540041</v>
      </c>
    </row>
    <row r="70" spans="1:13" x14ac:dyDescent="0.25">
      <c r="A70" s="8">
        <v>31</v>
      </c>
      <c r="B70" s="8" t="s">
        <v>198</v>
      </c>
      <c r="C70" s="8" t="s">
        <v>301</v>
      </c>
      <c r="D70" s="8" t="s">
        <v>28</v>
      </c>
      <c r="E70" s="8" t="s">
        <v>29</v>
      </c>
      <c r="F70" s="8" t="s">
        <v>130</v>
      </c>
      <c r="G70" s="11">
        <v>0</v>
      </c>
      <c r="H70" s="11">
        <v>0.1090721560237224</v>
      </c>
      <c r="I70" s="11">
        <v>0.87783172684814326</v>
      </c>
      <c r="J70" s="11">
        <v>0</v>
      </c>
      <c r="K70" s="11">
        <v>28.213201619757211</v>
      </c>
      <c r="L70" s="11">
        <v>20.93633895165053</v>
      </c>
      <c r="M70" s="11">
        <v>73.843830613428992</v>
      </c>
    </row>
    <row r="71" spans="1:13" x14ac:dyDescent="0.25">
      <c r="A71" s="6">
        <v>37</v>
      </c>
      <c r="B71" s="6" t="s">
        <v>218</v>
      </c>
      <c r="C71" s="6" t="s">
        <v>300</v>
      </c>
      <c r="D71" s="6" t="s">
        <v>28</v>
      </c>
      <c r="E71" s="6" t="s">
        <v>35</v>
      </c>
      <c r="F71" s="6" t="s">
        <v>76</v>
      </c>
      <c r="G71" s="10">
        <v>0.30535713043367269</v>
      </c>
      <c r="H71" s="10">
        <v>0.14094843113112021</v>
      </c>
      <c r="I71" s="10">
        <v>5.4215425897099186E-3</v>
      </c>
      <c r="J71" s="10">
        <v>0.92447727733159768</v>
      </c>
      <c r="K71" s="10">
        <v>30.514332664280492</v>
      </c>
      <c r="L71" s="10">
        <v>28.675992224263862</v>
      </c>
      <c r="M71" s="10">
        <v>188.56031910176461</v>
      </c>
    </row>
    <row r="72" spans="1:13" x14ac:dyDescent="0.25">
      <c r="A72" s="8">
        <v>37</v>
      </c>
      <c r="B72" s="8" t="s">
        <v>218</v>
      </c>
      <c r="C72" s="8" t="s">
        <v>301</v>
      </c>
      <c r="D72" s="8" t="s">
        <v>28</v>
      </c>
      <c r="E72" s="8" t="s">
        <v>35</v>
      </c>
      <c r="F72" s="8" t="s">
        <v>76</v>
      </c>
      <c r="G72" s="11">
        <v>0</v>
      </c>
      <c r="H72" s="11">
        <v>8.3882197240028836E-2</v>
      </c>
      <c r="I72" s="11">
        <v>2.4298019276443351E-2</v>
      </c>
      <c r="J72" s="11">
        <v>0.2309310830082773</v>
      </c>
      <c r="K72" s="11">
        <v>45.486197913377573</v>
      </c>
      <c r="L72" s="11">
        <v>34.428473200240241</v>
      </c>
      <c r="M72" s="11">
        <v>169.6534187990338</v>
      </c>
    </row>
    <row r="73" spans="1:13" x14ac:dyDescent="0.25">
      <c r="A73" s="6">
        <v>38</v>
      </c>
      <c r="B73" s="6" t="s">
        <v>223</v>
      </c>
      <c r="C73" s="6" t="s">
        <v>300</v>
      </c>
      <c r="D73" s="6" t="s">
        <v>28</v>
      </c>
      <c r="E73" s="6" t="s">
        <v>31</v>
      </c>
      <c r="F73" s="6" t="s">
        <v>31</v>
      </c>
      <c r="G73" s="10">
        <v>0.1423627546916193</v>
      </c>
      <c r="H73" s="10">
        <v>0.19087658536061269</v>
      </c>
      <c r="I73" s="10">
        <v>0.1087001286100384</v>
      </c>
      <c r="J73" s="10">
        <v>0.39868431866922599</v>
      </c>
      <c r="K73" s="10">
        <v>67.358249040373622</v>
      </c>
      <c r="L73" s="10">
        <v>52.262791432987221</v>
      </c>
      <c r="M73" s="10">
        <v>205.89310831389679</v>
      </c>
    </row>
    <row r="74" spans="1:13" x14ac:dyDescent="0.25">
      <c r="A74" s="8">
        <v>38</v>
      </c>
      <c r="B74" s="8" t="s">
        <v>223</v>
      </c>
      <c r="C74" s="8" t="s">
        <v>301</v>
      </c>
      <c r="D74" s="8" t="s">
        <v>28</v>
      </c>
      <c r="E74" s="8" t="s">
        <v>31</v>
      </c>
      <c r="F74" s="8" t="s">
        <v>31</v>
      </c>
      <c r="G74" s="11">
        <v>0</v>
      </c>
      <c r="H74" s="11">
        <v>0.54761889554039</v>
      </c>
      <c r="I74" s="11">
        <v>5.0473616639224998E-2</v>
      </c>
      <c r="J74" s="11">
        <v>0.94513627935308775</v>
      </c>
      <c r="K74" s="11">
        <v>50.571016219655441</v>
      </c>
      <c r="L74" s="11">
        <v>45.612596971397018</v>
      </c>
      <c r="M74" s="11">
        <v>228.21925521167481</v>
      </c>
    </row>
    <row r="75" spans="1:13" x14ac:dyDescent="0.25">
      <c r="A75" s="6">
        <v>42</v>
      </c>
      <c r="B75" s="6" t="s">
        <v>242</v>
      </c>
      <c r="C75" s="6" t="s">
        <v>300</v>
      </c>
      <c r="D75" s="6" t="s">
        <v>28</v>
      </c>
      <c r="E75" s="6" t="s">
        <v>33</v>
      </c>
      <c r="F75" s="6" t="s">
        <v>33</v>
      </c>
      <c r="G75" s="10">
        <v>0.1119717603069536</v>
      </c>
      <c r="H75" s="10">
        <v>8.2158448585864255E-2</v>
      </c>
      <c r="I75" s="10">
        <v>1.643615657683831E-2</v>
      </c>
      <c r="J75" s="10">
        <v>0.5125712172728395</v>
      </c>
      <c r="K75" s="10">
        <v>67.117549684267743</v>
      </c>
      <c r="L75" s="10">
        <v>56.356321664556063</v>
      </c>
      <c r="M75" s="10">
        <v>197.66418683099539</v>
      </c>
    </row>
    <row r="76" spans="1:13" x14ac:dyDescent="0.25">
      <c r="A76" s="8">
        <v>42</v>
      </c>
      <c r="B76" s="8" t="s">
        <v>242</v>
      </c>
      <c r="C76" s="8" t="s">
        <v>301</v>
      </c>
      <c r="D76" s="8" t="s">
        <v>28</v>
      </c>
      <c r="E76" s="8" t="s">
        <v>33</v>
      </c>
      <c r="F76" s="8" t="s">
        <v>33</v>
      </c>
      <c r="G76" s="11">
        <v>0</v>
      </c>
      <c r="H76" s="11">
        <v>0.47667835410688608</v>
      </c>
      <c r="I76" s="11">
        <v>1.27297174998127E-2</v>
      </c>
      <c r="J76" s="11">
        <v>0.4202840859765154</v>
      </c>
      <c r="K76" s="11">
        <v>40.651361378664021</v>
      </c>
      <c r="L76" s="11">
        <v>31.659462752029832</v>
      </c>
      <c r="M76" s="11">
        <v>249.21290311643861</v>
      </c>
    </row>
    <row r="77" spans="1:13" x14ac:dyDescent="0.25">
      <c r="A77" s="6">
        <v>48</v>
      </c>
      <c r="B77" s="6" t="s">
        <v>269</v>
      </c>
      <c r="C77" s="6" t="s">
        <v>300</v>
      </c>
      <c r="D77" s="6" t="s">
        <v>28</v>
      </c>
      <c r="E77" s="6" t="s">
        <v>33</v>
      </c>
      <c r="F77" s="6" t="s">
        <v>33</v>
      </c>
      <c r="G77" s="10">
        <v>0</v>
      </c>
      <c r="H77" s="10">
        <v>0.24021946013287521</v>
      </c>
      <c r="I77" s="10">
        <v>0.21586370090681031</v>
      </c>
      <c r="J77" s="10">
        <v>0.59801557616878198</v>
      </c>
      <c r="K77" s="10">
        <v>71.216839058001057</v>
      </c>
      <c r="L77" s="10">
        <v>57.608886510204798</v>
      </c>
      <c r="M77" s="10">
        <v>195.5190827900918</v>
      </c>
    </row>
    <row r="78" spans="1:13" x14ac:dyDescent="0.25">
      <c r="A78" s="8">
        <v>48</v>
      </c>
      <c r="B78" s="8" t="s">
        <v>269</v>
      </c>
      <c r="C78" s="8" t="s">
        <v>301</v>
      </c>
      <c r="D78" s="8" t="s">
        <v>28</v>
      </c>
      <c r="E78" s="8" t="s">
        <v>33</v>
      </c>
      <c r="F78" s="8" t="s">
        <v>33</v>
      </c>
      <c r="G78" s="11">
        <v>0</v>
      </c>
      <c r="H78" s="11">
        <v>0.45036794227206151</v>
      </c>
      <c r="I78" s="11">
        <v>6.3170939991916364E-2</v>
      </c>
      <c r="J78" s="11">
        <v>0.91605902538235162</v>
      </c>
      <c r="K78" s="11">
        <v>59.818804156881647</v>
      </c>
      <c r="L78" s="11">
        <v>44.251155441805381</v>
      </c>
      <c r="M78" s="11">
        <v>219.38476491375911</v>
      </c>
    </row>
    <row r="79" spans="1:13" x14ac:dyDescent="0.25">
      <c r="A79" s="6">
        <v>51</v>
      </c>
      <c r="B79" s="6" t="s">
        <v>281</v>
      </c>
      <c r="C79" s="6" t="s">
        <v>300</v>
      </c>
      <c r="D79" s="6" t="s">
        <v>28</v>
      </c>
      <c r="E79" s="6" t="s">
        <v>29</v>
      </c>
      <c r="F79" s="6" t="s">
        <v>96</v>
      </c>
      <c r="G79" s="10">
        <v>0</v>
      </c>
      <c r="H79" s="10">
        <v>0.59332623218911007</v>
      </c>
      <c r="I79" s="10">
        <v>0.60827748536033199</v>
      </c>
      <c r="J79" s="10">
        <v>0.30723605634976031</v>
      </c>
      <c r="K79" s="10">
        <v>47.848227987467823</v>
      </c>
      <c r="L79" s="10">
        <v>34.798057659764133</v>
      </c>
      <c r="M79" s="10">
        <v>69.521351283950381</v>
      </c>
    </row>
    <row r="80" spans="1:13" x14ac:dyDescent="0.25">
      <c r="A80" s="8">
        <v>51</v>
      </c>
      <c r="B80" s="8" t="s">
        <v>281</v>
      </c>
      <c r="C80" s="8" t="s">
        <v>301</v>
      </c>
      <c r="D80" s="8" t="s">
        <v>28</v>
      </c>
      <c r="E80" s="8" t="s">
        <v>29</v>
      </c>
      <c r="F80" s="8" t="s">
        <v>96</v>
      </c>
      <c r="G80" s="11">
        <v>0</v>
      </c>
      <c r="H80" s="11">
        <v>0.65269298090049266</v>
      </c>
      <c r="I80" s="11">
        <v>1.4671353884529701</v>
      </c>
      <c r="J80" s="11">
        <v>1.325529204266642</v>
      </c>
      <c r="K80" s="11">
        <v>32.194796924640961</v>
      </c>
      <c r="L80" s="11">
        <v>24.26414905968165</v>
      </c>
      <c r="M80" s="11">
        <v>93.626436720487092</v>
      </c>
    </row>
    <row r="81" spans="1:13" x14ac:dyDescent="0.25">
      <c r="A81" s="6">
        <v>52</v>
      </c>
      <c r="B81" s="6" t="s">
        <v>283</v>
      </c>
      <c r="C81" s="6" t="s">
        <v>300</v>
      </c>
      <c r="D81" s="6" t="s">
        <v>28</v>
      </c>
      <c r="E81" s="6" t="s">
        <v>29</v>
      </c>
      <c r="F81" s="6" t="s">
        <v>130</v>
      </c>
      <c r="G81" s="10">
        <v>0</v>
      </c>
      <c r="H81" s="10">
        <v>0.1862366457606098</v>
      </c>
      <c r="I81" s="10">
        <v>0.29756116596851101</v>
      </c>
      <c r="J81" s="10">
        <v>1.4208131798353429</v>
      </c>
      <c r="K81" s="10">
        <v>52.756028546138587</v>
      </c>
      <c r="L81" s="10">
        <v>37.953041680685587</v>
      </c>
      <c r="M81" s="10">
        <v>58.946475557855408</v>
      </c>
    </row>
    <row r="82" spans="1:13" x14ac:dyDescent="0.25">
      <c r="A82" s="8">
        <v>52</v>
      </c>
      <c r="B82" s="8" t="s">
        <v>283</v>
      </c>
      <c r="C82" s="8" t="s">
        <v>301</v>
      </c>
      <c r="D82" s="8" t="s">
        <v>28</v>
      </c>
      <c r="E82" s="8" t="s">
        <v>29</v>
      </c>
      <c r="F82" s="8" t="s">
        <v>130</v>
      </c>
      <c r="G82" s="11">
        <v>0</v>
      </c>
      <c r="H82" s="11">
        <v>0.36612590067079281</v>
      </c>
      <c r="I82" s="11">
        <v>0.5256426997626461</v>
      </c>
      <c r="J82" s="11">
        <v>1.2052897532145439</v>
      </c>
      <c r="K82" s="11">
        <v>29.795163922103889</v>
      </c>
      <c r="L82" s="11">
        <v>24.547360757977579</v>
      </c>
      <c r="M82" s="11">
        <v>95.669722271772159</v>
      </c>
    </row>
    <row r="83" spans="1:13" x14ac:dyDescent="0.25">
      <c r="A83" s="6">
        <v>53</v>
      </c>
      <c r="B83" s="6" t="s">
        <v>287</v>
      </c>
      <c r="C83" s="6" t="s">
        <v>300</v>
      </c>
      <c r="D83" s="6" t="s">
        <v>28</v>
      </c>
      <c r="E83" s="6" t="s">
        <v>31</v>
      </c>
      <c r="F83" s="6" t="s">
        <v>31</v>
      </c>
      <c r="G83" s="10">
        <v>5.2222732101069563E-2</v>
      </c>
      <c r="H83" s="10">
        <v>0.12701409600270411</v>
      </c>
      <c r="I83" s="10">
        <v>3.1548608690509579E-2</v>
      </c>
      <c r="J83" s="10">
        <v>0.16750319091501231</v>
      </c>
      <c r="K83" s="10">
        <v>59.942098202755432</v>
      </c>
      <c r="L83" s="10">
        <v>53.823119668093447</v>
      </c>
      <c r="M83" s="10">
        <v>211.265551707941</v>
      </c>
    </row>
    <row r="84" spans="1:13" x14ac:dyDescent="0.25">
      <c r="A84" s="8">
        <v>53</v>
      </c>
      <c r="B84" s="8" t="s">
        <v>287</v>
      </c>
      <c r="C84" s="8" t="s">
        <v>301</v>
      </c>
      <c r="D84" s="8" t="s">
        <v>28</v>
      </c>
      <c r="E84" s="8" t="s">
        <v>31</v>
      </c>
      <c r="F84" s="8" t="s">
        <v>31</v>
      </c>
      <c r="G84" s="11">
        <v>0</v>
      </c>
      <c r="H84" s="11">
        <v>2.1664931883547331E-3</v>
      </c>
      <c r="I84" s="11">
        <v>4.085835435001741E-2</v>
      </c>
      <c r="J84" s="11">
        <v>0.36129624957342932</v>
      </c>
      <c r="K84" s="11">
        <v>42.408761093682124</v>
      </c>
      <c r="L84" s="11">
        <v>30.728695534576911</v>
      </c>
      <c r="M84" s="11">
        <v>251.55385390647561</v>
      </c>
    </row>
    <row r="85" spans="1:13" x14ac:dyDescent="0.25">
      <c r="A85" s="6">
        <v>54</v>
      </c>
      <c r="B85" s="6" t="s">
        <v>289</v>
      </c>
      <c r="C85" s="6" t="s">
        <v>300</v>
      </c>
      <c r="D85" s="6" t="s">
        <v>28</v>
      </c>
      <c r="E85" s="6" t="s">
        <v>33</v>
      </c>
      <c r="F85" s="6" t="s">
        <v>33</v>
      </c>
      <c r="G85" s="10">
        <v>8.8935996553685642E-2</v>
      </c>
      <c r="H85" s="10">
        <v>0.32793162569742029</v>
      </c>
      <c r="I85" s="10">
        <v>0.10141816483241591</v>
      </c>
      <c r="J85" s="10">
        <v>0.57665162648251256</v>
      </c>
      <c r="K85" s="10">
        <v>63.630851515328487</v>
      </c>
      <c r="L85" s="10">
        <v>53.728638461221273</v>
      </c>
      <c r="M85" s="10">
        <v>206.0150800117203</v>
      </c>
    </row>
    <row r="86" spans="1:13" x14ac:dyDescent="0.25">
      <c r="A86" s="8">
        <v>54</v>
      </c>
      <c r="B86" s="8" t="s">
        <v>289</v>
      </c>
      <c r="C86" s="8" t="s">
        <v>301</v>
      </c>
      <c r="D86" s="8" t="s">
        <v>28</v>
      </c>
      <c r="E86" s="8" t="s">
        <v>33</v>
      </c>
      <c r="F86" s="8" t="s">
        <v>33</v>
      </c>
      <c r="G86" s="11">
        <v>0</v>
      </c>
      <c r="H86" s="11">
        <v>0.44236745429158209</v>
      </c>
      <c r="I86" s="11">
        <v>0.428265735708522</v>
      </c>
      <c r="J86" s="11">
        <v>0.51104472499002784</v>
      </c>
      <c r="K86" s="11">
        <v>36.406613940185977</v>
      </c>
      <c r="L86" s="11">
        <v>29.047822987177661</v>
      </c>
      <c r="M86" s="11">
        <v>258.19733356892652</v>
      </c>
    </row>
  </sheetData>
  <autoFilter ref="A58:M86"/>
  <mergeCells count="3">
    <mergeCell ref="A55:M55"/>
    <mergeCell ref="A21:M21"/>
    <mergeCell ref="A1:R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8" width="22" customWidth="1"/>
    <col min="9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328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</v>
      </c>
      <c r="B5" s="6" t="s">
        <v>75</v>
      </c>
      <c r="C5" s="6" t="s">
        <v>44</v>
      </c>
      <c r="D5" s="6" t="s">
        <v>28</v>
      </c>
      <c r="E5" s="6" t="s">
        <v>35</v>
      </c>
      <c r="F5" s="6" t="s">
        <v>76</v>
      </c>
      <c r="G5" s="6" t="s">
        <v>77</v>
      </c>
      <c r="H5" s="6" t="s">
        <v>78</v>
      </c>
      <c r="I5" s="10">
        <v>305.16658691227991</v>
      </c>
      <c r="J5" s="10">
        <v>310.4742418277487</v>
      </c>
      <c r="K5" s="10">
        <v>343.84039999999999</v>
      </c>
      <c r="L5" s="10">
        <v>311.50751666666667</v>
      </c>
      <c r="M5" s="6" t="s">
        <v>79</v>
      </c>
      <c r="N5" s="6" t="s">
        <v>80</v>
      </c>
      <c r="O5" s="6" t="s">
        <v>81</v>
      </c>
      <c r="P5" s="6" t="s">
        <v>82</v>
      </c>
      <c r="Q5" s="10">
        <v>69.11154120244322</v>
      </c>
      <c r="R5" s="10">
        <v>63.460767866371931</v>
      </c>
    </row>
    <row r="6" spans="1:18" x14ac:dyDescent="0.25">
      <c r="A6" s="8">
        <v>2</v>
      </c>
      <c r="B6" s="8" t="s">
        <v>83</v>
      </c>
      <c r="C6" s="8" t="s">
        <v>44</v>
      </c>
      <c r="D6" s="8" t="s">
        <v>28</v>
      </c>
      <c r="E6" s="8" t="s">
        <v>35</v>
      </c>
      <c r="F6" s="8" t="s">
        <v>76</v>
      </c>
      <c r="G6" s="8" t="s">
        <v>77</v>
      </c>
      <c r="H6" s="8" t="s">
        <v>84</v>
      </c>
      <c r="I6" s="11">
        <v>305.10727765948627</v>
      </c>
      <c r="J6" s="11">
        <v>305.2160753980956</v>
      </c>
      <c r="K6" s="11">
        <v>343.84039999999999</v>
      </c>
      <c r="L6" s="11">
        <v>299.01821666666672</v>
      </c>
      <c r="M6" s="8" t="s">
        <v>79</v>
      </c>
      <c r="N6" s="8" t="s">
        <v>80</v>
      </c>
      <c r="O6" s="8" t="s">
        <v>85</v>
      </c>
      <c r="P6" s="8" t="s">
        <v>86</v>
      </c>
      <c r="Q6" s="11">
        <v>69.098086819344246</v>
      </c>
      <c r="R6" s="11">
        <v>66.422255950595925</v>
      </c>
    </row>
    <row r="7" spans="1:18" x14ac:dyDescent="0.25">
      <c r="A7" s="6">
        <v>3</v>
      </c>
      <c r="B7" s="6" t="s">
        <v>87</v>
      </c>
      <c r="C7" s="6" t="s">
        <v>44</v>
      </c>
      <c r="D7" s="6" t="s">
        <v>28</v>
      </c>
      <c r="E7" s="6" t="s">
        <v>35</v>
      </c>
      <c r="F7" s="6" t="s">
        <v>88</v>
      </c>
      <c r="G7" s="6" t="s">
        <v>89</v>
      </c>
      <c r="H7" s="6" t="s">
        <v>90</v>
      </c>
      <c r="I7" s="10">
        <v>320.33950971072761</v>
      </c>
      <c r="J7" s="10">
        <v>320.68901803404901</v>
      </c>
      <c r="K7" s="10">
        <v>345.61666666666667</v>
      </c>
      <c r="L7" s="10">
        <v>358.39743333333331</v>
      </c>
      <c r="M7" s="6" t="s">
        <v>91</v>
      </c>
      <c r="N7" s="6" t="s">
        <v>92</v>
      </c>
      <c r="O7" s="6" t="s">
        <v>93</v>
      </c>
      <c r="P7" s="6" t="s">
        <v>94</v>
      </c>
      <c r="Q7" s="10">
        <v>64.616756627859615</v>
      </c>
      <c r="R7" s="10">
        <v>59.679115606607731</v>
      </c>
    </row>
    <row r="8" spans="1:18" x14ac:dyDescent="0.25">
      <c r="A8" s="8">
        <v>5</v>
      </c>
      <c r="B8" s="8" t="s">
        <v>102</v>
      </c>
      <c r="C8" s="8" t="s">
        <v>44</v>
      </c>
      <c r="D8" s="8" t="s">
        <v>28</v>
      </c>
      <c r="E8" s="8" t="s">
        <v>29</v>
      </c>
      <c r="F8" s="8" t="s">
        <v>96</v>
      </c>
      <c r="G8" s="8" t="s">
        <v>97</v>
      </c>
      <c r="H8" s="8" t="s">
        <v>103</v>
      </c>
      <c r="I8" s="11">
        <v>141.62200313375999</v>
      </c>
      <c r="J8" s="11">
        <v>141.6711046862772</v>
      </c>
      <c r="K8" s="11">
        <v>209.59191666666669</v>
      </c>
      <c r="L8" s="11">
        <v>221.15</v>
      </c>
      <c r="M8" s="8" t="s">
        <v>104</v>
      </c>
      <c r="N8" s="8" t="s">
        <v>105</v>
      </c>
      <c r="O8" s="8" t="s">
        <v>106</v>
      </c>
      <c r="P8" s="8" t="s">
        <v>107</v>
      </c>
      <c r="Q8" s="11">
        <v>47.253841991330667</v>
      </c>
      <c r="R8" s="11">
        <v>44.821614085784937</v>
      </c>
    </row>
    <row r="9" spans="1:18" x14ac:dyDescent="0.25">
      <c r="A9" s="6">
        <v>6</v>
      </c>
      <c r="B9" s="6" t="s">
        <v>108</v>
      </c>
      <c r="C9" s="6" t="s">
        <v>44</v>
      </c>
      <c r="D9" s="6" t="s">
        <v>28</v>
      </c>
      <c r="E9" s="6" t="s">
        <v>29</v>
      </c>
      <c r="F9" s="6" t="s">
        <v>96</v>
      </c>
      <c r="G9" s="6" t="s">
        <v>103</v>
      </c>
      <c r="H9" s="6" t="s">
        <v>97</v>
      </c>
      <c r="I9" s="10">
        <v>148.20841194532801</v>
      </c>
      <c r="J9" s="10">
        <v>148.15021957391201</v>
      </c>
      <c r="K9" s="10">
        <v>221.51708333333329</v>
      </c>
      <c r="L9" s="10">
        <v>274.35000000000002</v>
      </c>
      <c r="M9" s="6" t="s">
        <v>109</v>
      </c>
      <c r="N9" s="6" t="s">
        <v>110</v>
      </c>
      <c r="O9" s="6" t="s">
        <v>100</v>
      </c>
      <c r="P9" s="6" t="s">
        <v>101</v>
      </c>
      <c r="Q9" s="10">
        <v>49.306618200865557</v>
      </c>
      <c r="R9" s="10">
        <v>44.79217019920052</v>
      </c>
    </row>
    <row r="10" spans="1:18" x14ac:dyDescent="0.25">
      <c r="A10" s="8">
        <v>7</v>
      </c>
      <c r="B10" s="8" t="s">
        <v>111</v>
      </c>
      <c r="C10" s="8" t="s">
        <v>44</v>
      </c>
      <c r="D10" s="8" t="s">
        <v>28</v>
      </c>
      <c r="E10" s="8" t="s">
        <v>29</v>
      </c>
      <c r="F10" s="8" t="s">
        <v>96</v>
      </c>
      <c r="G10" s="8" t="s">
        <v>97</v>
      </c>
      <c r="H10" s="8" t="s">
        <v>112</v>
      </c>
      <c r="I10" s="11">
        <v>146.1103622297162</v>
      </c>
      <c r="J10" s="11">
        <v>146.19417039093929</v>
      </c>
      <c r="K10" s="11">
        <v>232.89156666666659</v>
      </c>
      <c r="L10" s="11">
        <v>269.21666666666658</v>
      </c>
      <c r="M10" s="8" t="s">
        <v>113</v>
      </c>
      <c r="N10" s="8" t="s">
        <v>114</v>
      </c>
      <c r="O10" s="8" t="s">
        <v>115</v>
      </c>
      <c r="P10" s="8" t="s">
        <v>116</v>
      </c>
      <c r="Q10" s="11">
        <v>44.761538696895471</v>
      </c>
      <c r="R10" s="11">
        <v>44.849027767870119</v>
      </c>
    </row>
    <row r="11" spans="1:18" x14ac:dyDescent="0.25">
      <c r="A11" s="6">
        <v>8</v>
      </c>
      <c r="B11" s="6" t="s">
        <v>117</v>
      </c>
      <c r="C11" s="6" t="s">
        <v>44</v>
      </c>
      <c r="D11" s="6" t="s">
        <v>28</v>
      </c>
      <c r="E11" s="6" t="s">
        <v>29</v>
      </c>
      <c r="F11" s="6" t="s">
        <v>96</v>
      </c>
      <c r="G11" s="6" t="s">
        <v>112</v>
      </c>
      <c r="H11" s="6" t="s">
        <v>97</v>
      </c>
      <c r="I11" s="10">
        <v>147.80638088976619</v>
      </c>
      <c r="J11" s="10">
        <v>147.73470822438651</v>
      </c>
      <c r="K11" s="10">
        <v>199.78013333333331</v>
      </c>
      <c r="L11" s="10">
        <v>272.70876666666669</v>
      </c>
      <c r="M11" s="6" t="s">
        <v>118</v>
      </c>
      <c r="N11" s="6" t="s">
        <v>119</v>
      </c>
      <c r="O11" s="6" t="s">
        <v>120</v>
      </c>
      <c r="P11" s="6" t="s">
        <v>101</v>
      </c>
      <c r="Q11" s="10">
        <v>48.109431090638452</v>
      </c>
      <c r="R11" s="10">
        <v>45.043540593222318</v>
      </c>
    </row>
    <row r="12" spans="1:18" x14ac:dyDescent="0.25">
      <c r="A12" s="8">
        <v>9</v>
      </c>
      <c r="B12" s="8" t="s">
        <v>121</v>
      </c>
      <c r="C12" s="8" t="s">
        <v>44</v>
      </c>
      <c r="D12" s="8" t="s">
        <v>28</v>
      </c>
      <c r="E12" s="8" t="s">
        <v>29</v>
      </c>
      <c r="F12" s="8" t="s">
        <v>96</v>
      </c>
      <c r="G12" s="8" t="s">
        <v>97</v>
      </c>
      <c r="H12" s="8" t="s">
        <v>122</v>
      </c>
      <c r="I12" s="11">
        <v>153.53484415159559</v>
      </c>
      <c r="J12" s="11">
        <v>153.5526617847118</v>
      </c>
      <c r="K12" s="11">
        <v>299.50470000000001</v>
      </c>
      <c r="L12" s="11">
        <v>285.56666666666672</v>
      </c>
      <c r="M12" s="8" t="s">
        <v>123</v>
      </c>
      <c r="N12" s="8" t="s">
        <v>105</v>
      </c>
      <c r="O12" s="8" t="s">
        <v>124</v>
      </c>
      <c r="P12" s="8" t="s">
        <v>125</v>
      </c>
      <c r="Q12" s="11">
        <v>41.136903244122031</v>
      </c>
      <c r="R12" s="11">
        <v>41.353121466683596</v>
      </c>
    </row>
    <row r="13" spans="1:18" x14ac:dyDescent="0.25">
      <c r="A13" s="6">
        <v>10</v>
      </c>
      <c r="B13" s="6" t="s">
        <v>126</v>
      </c>
      <c r="C13" s="6" t="s">
        <v>44</v>
      </c>
      <c r="D13" s="6" t="s">
        <v>28</v>
      </c>
      <c r="E13" s="6" t="s">
        <v>29</v>
      </c>
      <c r="F13" s="6" t="s">
        <v>96</v>
      </c>
      <c r="G13" s="6" t="s">
        <v>122</v>
      </c>
      <c r="H13" s="6" t="s">
        <v>97</v>
      </c>
      <c r="I13" s="10">
        <v>148.4081122812309</v>
      </c>
      <c r="J13" s="10">
        <v>148.16934205197421</v>
      </c>
      <c r="K13" s="10">
        <v>247.26765</v>
      </c>
      <c r="L13" s="10">
        <v>274.35000000000002</v>
      </c>
      <c r="M13" s="6" t="s">
        <v>127</v>
      </c>
      <c r="N13" s="6" t="s">
        <v>128</v>
      </c>
      <c r="O13" s="6" t="s">
        <v>100</v>
      </c>
      <c r="P13" s="6" t="s">
        <v>101</v>
      </c>
      <c r="Q13" s="10">
        <v>47.637753211593449</v>
      </c>
      <c r="R13" s="10">
        <v>44.798056554140558</v>
      </c>
    </row>
    <row r="14" spans="1:18" x14ac:dyDescent="0.25">
      <c r="A14" s="8">
        <v>12</v>
      </c>
      <c r="B14" s="8" t="s">
        <v>136</v>
      </c>
      <c r="C14" s="8" t="s">
        <v>44</v>
      </c>
      <c r="D14" s="8" t="s">
        <v>28</v>
      </c>
      <c r="E14" s="8" t="s">
        <v>29</v>
      </c>
      <c r="F14" s="8" t="s">
        <v>130</v>
      </c>
      <c r="G14" s="8" t="s">
        <v>131</v>
      </c>
      <c r="H14" s="8" t="s">
        <v>137</v>
      </c>
      <c r="I14" s="11">
        <v>136.6906978560236</v>
      </c>
      <c r="J14" s="11">
        <v>137.9070606846193</v>
      </c>
      <c r="K14" s="11">
        <v>199.88373333333331</v>
      </c>
      <c r="L14" s="11">
        <v>231.8833333333333</v>
      </c>
      <c r="M14" s="8" t="s">
        <v>132</v>
      </c>
      <c r="N14" s="8" t="s">
        <v>138</v>
      </c>
      <c r="O14" s="8" t="s">
        <v>139</v>
      </c>
      <c r="P14" s="8" t="s">
        <v>140</v>
      </c>
      <c r="Q14" s="11">
        <v>48.732283159784458</v>
      </c>
      <c r="R14" s="11">
        <v>40.295521200628478</v>
      </c>
    </row>
    <row r="15" spans="1:18" x14ac:dyDescent="0.25">
      <c r="A15" s="6">
        <v>13</v>
      </c>
      <c r="B15" s="6" t="s">
        <v>141</v>
      </c>
      <c r="C15" s="6" t="s">
        <v>44</v>
      </c>
      <c r="D15" s="6" t="s">
        <v>28</v>
      </c>
      <c r="E15" s="6" t="s">
        <v>29</v>
      </c>
      <c r="F15" s="6" t="s">
        <v>130</v>
      </c>
      <c r="G15" s="6" t="s">
        <v>137</v>
      </c>
      <c r="H15" s="6" t="s">
        <v>131</v>
      </c>
      <c r="I15" s="10">
        <v>144.86907862959839</v>
      </c>
      <c r="J15" s="10">
        <v>143.72466993648419</v>
      </c>
      <c r="K15" s="10">
        <v>251.7108833333333</v>
      </c>
      <c r="L15" s="10">
        <v>241.6157666666667</v>
      </c>
      <c r="M15" s="6" t="s">
        <v>142</v>
      </c>
      <c r="N15" s="6" t="s">
        <v>143</v>
      </c>
      <c r="O15" s="6" t="s">
        <v>134</v>
      </c>
      <c r="P15" s="6" t="s">
        <v>135</v>
      </c>
      <c r="Q15" s="10">
        <v>40.963129251036513</v>
      </c>
      <c r="R15" s="10">
        <v>42.341899372018943</v>
      </c>
    </row>
    <row r="16" spans="1:18" x14ac:dyDescent="0.25">
      <c r="A16" s="8">
        <v>14</v>
      </c>
      <c r="B16" s="8" t="s">
        <v>144</v>
      </c>
      <c r="C16" s="8" t="s">
        <v>44</v>
      </c>
      <c r="D16" s="8" t="s">
        <v>28</v>
      </c>
      <c r="E16" s="8" t="s">
        <v>29</v>
      </c>
      <c r="F16" s="8" t="s">
        <v>130</v>
      </c>
      <c r="G16" s="8" t="s">
        <v>131</v>
      </c>
      <c r="H16" s="8" t="s">
        <v>145</v>
      </c>
      <c r="I16" s="11">
        <v>123.91859568577109</v>
      </c>
      <c r="J16" s="11">
        <v>123.941936072907</v>
      </c>
      <c r="K16" s="11">
        <v>205.75388333333331</v>
      </c>
      <c r="L16" s="11">
        <v>194.95840000000001</v>
      </c>
      <c r="M16" s="8" t="s">
        <v>146</v>
      </c>
      <c r="N16" s="8" t="s">
        <v>147</v>
      </c>
      <c r="O16" s="8" t="s">
        <v>148</v>
      </c>
      <c r="P16" s="8" t="s">
        <v>149</v>
      </c>
      <c r="Q16" s="11">
        <v>44.923872976769658</v>
      </c>
      <c r="R16" s="11">
        <v>42.762032180854042</v>
      </c>
    </row>
    <row r="17" spans="1:18" x14ac:dyDescent="0.25">
      <c r="A17" s="6">
        <v>15</v>
      </c>
      <c r="B17" s="6" t="s">
        <v>150</v>
      </c>
      <c r="C17" s="6" t="s">
        <v>44</v>
      </c>
      <c r="D17" s="6" t="s">
        <v>28</v>
      </c>
      <c r="E17" s="6" t="s">
        <v>29</v>
      </c>
      <c r="F17" s="6" t="s">
        <v>130</v>
      </c>
      <c r="G17" s="6" t="s">
        <v>145</v>
      </c>
      <c r="H17" s="6" t="s">
        <v>131</v>
      </c>
      <c r="I17" s="10">
        <v>143.71555961314201</v>
      </c>
      <c r="J17" s="10">
        <v>143.70301098845081</v>
      </c>
      <c r="K17" s="10">
        <v>223.04198333333329</v>
      </c>
      <c r="L17" s="10">
        <v>241.6157666666667</v>
      </c>
      <c r="M17" s="6" t="s">
        <v>151</v>
      </c>
      <c r="N17" s="6" t="s">
        <v>152</v>
      </c>
      <c r="O17" s="6" t="s">
        <v>134</v>
      </c>
      <c r="P17" s="6" t="s">
        <v>135</v>
      </c>
      <c r="Q17" s="10">
        <v>46.2946098216972</v>
      </c>
      <c r="R17" s="10">
        <v>42.341452090744298</v>
      </c>
    </row>
    <row r="18" spans="1:18" x14ac:dyDescent="0.25">
      <c r="A18" s="8">
        <v>16</v>
      </c>
      <c r="B18" s="8" t="s">
        <v>153</v>
      </c>
      <c r="C18" s="8" t="s">
        <v>44</v>
      </c>
      <c r="D18" s="8" t="s">
        <v>28</v>
      </c>
      <c r="E18" s="8" t="s">
        <v>29</v>
      </c>
      <c r="F18" s="8" t="s">
        <v>130</v>
      </c>
      <c r="G18" s="8" t="s">
        <v>131</v>
      </c>
      <c r="H18" s="8" t="s">
        <v>154</v>
      </c>
      <c r="I18" s="11">
        <v>152.2392917821083</v>
      </c>
      <c r="J18" s="11">
        <v>153.94759024770309</v>
      </c>
      <c r="K18" s="11">
        <v>276.10219999999998</v>
      </c>
      <c r="L18" s="11">
        <v>291.35971666666671</v>
      </c>
      <c r="M18" s="8" t="s">
        <v>132</v>
      </c>
      <c r="N18" s="8" t="s">
        <v>155</v>
      </c>
      <c r="O18" s="8" t="s">
        <v>156</v>
      </c>
      <c r="P18" s="8" t="s">
        <v>157</v>
      </c>
      <c r="Q18" s="11">
        <v>40.355745492660311</v>
      </c>
      <c r="R18" s="11">
        <v>36.021923037796739</v>
      </c>
    </row>
    <row r="19" spans="1:18" x14ac:dyDescent="0.25">
      <c r="A19" s="6">
        <v>17</v>
      </c>
      <c r="B19" s="6" t="s">
        <v>158</v>
      </c>
      <c r="C19" s="6" t="s">
        <v>44</v>
      </c>
      <c r="D19" s="6" t="s">
        <v>28</v>
      </c>
      <c r="E19" s="6" t="s">
        <v>29</v>
      </c>
      <c r="F19" s="6" t="s">
        <v>130</v>
      </c>
      <c r="G19" s="6" t="s">
        <v>154</v>
      </c>
      <c r="H19" s="6" t="s">
        <v>131</v>
      </c>
      <c r="I19" s="10">
        <v>145.59876206835349</v>
      </c>
      <c r="J19" s="10">
        <v>143.81943712107361</v>
      </c>
      <c r="K19" s="10">
        <v>242.58760000000001</v>
      </c>
      <c r="L19" s="10">
        <v>242.52818333333329</v>
      </c>
      <c r="M19" s="6" t="s">
        <v>159</v>
      </c>
      <c r="N19" s="6" t="s">
        <v>160</v>
      </c>
      <c r="O19" s="6" t="s">
        <v>134</v>
      </c>
      <c r="P19" s="6" t="s">
        <v>161</v>
      </c>
      <c r="Q19" s="10">
        <v>44.70287136285296</v>
      </c>
      <c r="R19" s="10">
        <v>42.185773980476462</v>
      </c>
    </row>
    <row r="20" spans="1:18" x14ac:dyDescent="0.25">
      <c r="A20" s="8">
        <v>19</v>
      </c>
      <c r="B20" s="8" t="s">
        <v>165</v>
      </c>
      <c r="C20" s="8" t="s">
        <v>44</v>
      </c>
      <c r="D20" s="8" t="s">
        <v>28</v>
      </c>
      <c r="E20" s="8" t="s">
        <v>29</v>
      </c>
      <c r="F20" s="8" t="s">
        <v>96</v>
      </c>
      <c r="G20" s="8" t="s">
        <v>103</v>
      </c>
      <c r="H20" s="8" t="s">
        <v>112</v>
      </c>
      <c r="I20" s="11">
        <v>146.11778022672581</v>
      </c>
      <c r="J20" s="11">
        <v>146.22654761738161</v>
      </c>
      <c r="K20" s="11">
        <v>219.93658333333329</v>
      </c>
      <c r="L20" s="11">
        <v>269.21666666666658</v>
      </c>
      <c r="M20" s="8" t="s">
        <v>166</v>
      </c>
      <c r="N20" s="8" t="s">
        <v>167</v>
      </c>
      <c r="O20" s="8" t="s">
        <v>115</v>
      </c>
      <c r="P20" s="8" t="s">
        <v>116</v>
      </c>
      <c r="Q20" s="11">
        <v>48.977517926050687</v>
      </c>
      <c r="R20" s="11">
        <v>44.857641693697801</v>
      </c>
    </row>
    <row r="21" spans="1:18" x14ac:dyDescent="0.25">
      <c r="A21" s="6">
        <v>20</v>
      </c>
      <c r="B21" s="6" t="s">
        <v>168</v>
      </c>
      <c r="C21" s="6" t="s">
        <v>44</v>
      </c>
      <c r="D21" s="6" t="s">
        <v>28</v>
      </c>
      <c r="E21" s="6" t="s">
        <v>29</v>
      </c>
      <c r="F21" s="6" t="s">
        <v>96</v>
      </c>
      <c r="G21" s="6" t="s">
        <v>112</v>
      </c>
      <c r="H21" s="6" t="s">
        <v>103</v>
      </c>
      <c r="I21" s="10">
        <v>141.7178099447946</v>
      </c>
      <c r="J21" s="10">
        <v>141.71372942643819</v>
      </c>
      <c r="K21" s="10">
        <v>186.11555000000001</v>
      </c>
      <c r="L21" s="10">
        <v>221.15</v>
      </c>
      <c r="M21" s="6" t="s">
        <v>169</v>
      </c>
      <c r="N21" s="6" t="s">
        <v>170</v>
      </c>
      <c r="O21" s="6" t="s">
        <v>106</v>
      </c>
      <c r="P21" s="6" t="s">
        <v>107</v>
      </c>
      <c r="Q21" s="10">
        <v>48.979847646940023</v>
      </c>
      <c r="R21" s="10">
        <v>44.835120737011053</v>
      </c>
    </row>
    <row r="22" spans="1:18" x14ac:dyDescent="0.25">
      <c r="A22" s="8">
        <v>21</v>
      </c>
      <c r="B22" s="8" t="s">
        <v>171</v>
      </c>
      <c r="C22" s="8" t="s">
        <v>44</v>
      </c>
      <c r="D22" s="8" t="s">
        <v>28</v>
      </c>
      <c r="E22" s="8" t="s">
        <v>29</v>
      </c>
      <c r="F22" s="8" t="s">
        <v>96</v>
      </c>
      <c r="G22" s="8" t="s">
        <v>103</v>
      </c>
      <c r="H22" s="8" t="s">
        <v>122</v>
      </c>
      <c r="I22" s="11">
        <v>153.5802936448807</v>
      </c>
      <c r="J22" s="11">
        <v>153.58803621196651</v>
      </c>
      <c r="K22" s="11">
        <v>235.73150000000001</v>
      </c>
      <c r="L22" s="11">
        <v>285.56666666666672</v>
      </c>
      <c r="M22" s="8" t="s">
        <v>172</v>
      </c>
      <c r="N22" s="8" t="s">
        <v>164</v>
      </c>
      <c r="O22" s="8" t="s">
        <v>124</v>
      </c>
      <c r="P22" s="8" t="s">
        <v>125</v>
      </c>
      <c r="Q22" s="11">
        <v>47.722150024085572</v>
      </c>
      <c r="R22" s="11">
        <v>41.362781478677611</v>
      </c>
    </row>
    <row r="23" spans="1:18" x14ac:dyDescent="0.25">
      <c r="A23" s="6">
        <v>22</v>
      </c>
      <c r="B23" s="6" t="s">
        <v>173</v>
      </c>
      <c r="C23" s="6" t="s">
        <v>44</v>
      </c>
      <c r="D23" s="6" t="s">
        <v>28</v>
      </c>
      <c r="E23" s="6" t="s">
        <v>29</v>
      </c>
      <c r="F23" s="6" t="s">
        <v>96</v>
      </c>
      <c r="G23" s="6" t="s">
        <v>122</v>
      </c>
      <c r="H23" s="6" t="s">
        <v>103</v>
      </c>
      <c r="I23" s="10">
        <v>141.83173688616381</v>
      </c>
      <c r="J23" s="10">
        <v>141.67339805160449</v>
      </c>
      <c r="K23" s="10">
        <v>221.1224333333333</v>
      </c>
      <c r="L23" s="10">
        <v>221.15</v>
      </c>
      <c r="M23" s="6" t="s">
        <v>174</v>
      </c>
      <c r="N23" s="6" t="s">
        <v>175</v>
      </c>
      <c r="O23" s="6" t="s">
        <v>106</v>
      </c>
      <c r="P23" s="6" t="s">
        <v>107</v>
      </c>
      <c r="Q23" s="10">
        <v>49.270305864703857</v>
      </c>
      <c r="R23" s="10">
        <v>44.822340792516592</v>
      </c>
    </row>
    <row r="24" spans="1:18" x14ac:dyDescent="0.25">
      <c r="A24" s="8">
        <v>24</v>
      </c>
      <c r="B24" s="8" t="s">
        <v>178</v>
      </c>
      <c r="C24" s="8" t="s">
        <v>44</v>
      </c>
      <c r="D24" s="8" t="s">
        <v>28</v>
      </c>
      <c r="E24" s="8" t="s">
        <v>29</v>
      </c>
      <c r="F24" s="8" t="s">
        <v>130</v>
      </c>
      <c r="G24" s="8" t="s">
        <v>137</v>
      </c>
      <c r="H24" s="8" t="s">
        <v>145</v>
      </c>
      <c r="I24" s="11">
        <v>125.021511754306</v>
      </c>
      <c r="J24" s="11">
        <v>123.8871365945718</v>
      </c>
      <c r="K24" s="11">
        <v>207.13586666666669</v>
      </c>
      <c r="L24" s="11">
        <v>194.5326</v>
      </c>
      <c r="M24" s="8" t="s">
        <v>179</v>
      </c>
      <c r="N24" s="8" t="s">
        <v>143</v>
      </c>
      <c r="O24" s="8" t="s">
        <v>148</v>
      </c>
      <c r="P24" s="8" t="s">
        <v>180</v>
      </c>
      <c r="Q24" s="11">
        <v>41.521588856960847</v>
      </c>
      <c r="R24" s="11">
        <v>42.835212207537772</v>
      </c>
    </row>
    <row r="25" spans="1:18" x14ac:dyDescent="0.25">
      <c r="A25" s="6">
        <v>25</v>
      </c>
      <c r="B25" s="6" t="s">
        <v>181</v>
      </c>
      <c r="C25" s="6" t="s">
        <v>44</v>
      </c>
      <c r="D25" s="6" t="s">
        <v>28</v>
      </c>
      <c r="E25" s="6" t="s">
        <v>29</v>
      </c>
      <c r="F25" s="6" t="s">
        <v>130</v>
      </c>
      <c r="G25" s="6" t="s">
        <v>145</v>
      </c>
      <c r="H25" s="6" t="s">
        <v>137</v>
      </c>
      <c r="I25" s="10">
        <v>136.71688857972779</v>
      </c>
      <c r="J25" s="10">
        <v>137.90825458617789</v>
      </c>
      <c r="K25" s="10">
        <v>189.99105</v>
      </c>
      <c r="L25" s="10">
        <v>231.8833333333333</v>
      </c>
      <c r="M25" s="6" t="s">
        <v>151</v>
      </c>
      <c r="N25" s="6" t="s">
        <v>182</v>
      </c>
      <c r="O25" s="6" t="s">
        <v>139</v>
      </c>
      <c r="P25" s="6" t="s">
        <v>140</v>
      </c>
      <c r="Q25" s="10">
        <v>50.214719327104461</v>
      </c>
      <c r="R25" s="10">
        <v>40.296367138208907</v>
      </c>
    </row>
    <row r="26" spans="1:18" x14ac:dyDescent="0.25">
      <c r="A26" s="8">
        <v>26</v>
      </c>
      <c r="B26" s="8" t="s">
        <v>183</v>
      </c>
      <c r="C26" s="8" t="s">
        <v>44</v>
      </c>
      <c r="D26" s="8" t="s">
        <v>28</v>
      </c>
      <c r="E26" s="8" t="s">
        <v>29</v>
      </c>
      <c r="F26" s="8" t="s">
        <v>130</v>
      </c>
      <c r="G26" s="8" t="s">
        <v>137</v>
      </c>
      <c r="H26" s="8" t="s">
        <v>154</v>
      </c>
      <c r="I26" s="11">
        <v>153.3729275658394</v>
      </c>
      <c r="J26" s="11">
        <v>154.06343517645311</v>
      </c>
      <c r="K26" s="11">
        <v>281.08690000000001</v>
      </c>
      <c r="L26" s="11">
        <v>291.75</v>
      </c>
      <c r="M26" s="8" t="s">
        <v>142</v>
      </c>
      <c r="N26" s="8" t="s">
        <v>184</v>
      </c>
      <c r="O26" s="8" t="s">
        <v>156</v>
      </c>
      <c r="P26" s="8" t="s">
        <v>185</v>
      </c>
      <c r="Q26" s="11">
        <v>38.128965801600678</v>
      </c>
      <c r="R26" s="11">
        <v>35.989741808256568</v>
      </c>
    </row>
    <row r="27" spans="1:18" x14ac:dyDescent="0.25">
      <c r="A27" s="6">
        <v>27</v>
      </c>
      <c r="B27" s="6" t="s">
        <v>186</v>
      </c>
      <c r="C27" s="6" t="s">
        <v>44</v>
      </c>
      <c r="D27" s="6" t="s">
        <v>28</v>
      </c>
      <c r="E27" s="6" t="s">
        <v>29</v>
      </c>
      <c r="F27" s="6" t="s">
        <v>130</v>
      </c>
      <c r="G27" s="6" t="s">
        <v>154</v>
      </c>
      <c r="H27" s="6" t="s">
        <v>137</v>
      </c>
      <c r="I27" s="10">
        <v>138.2944646000696</v>
      </c>
      <c r="J27" s="10">
        <v>137.8693466671948</v>
      </c>
      <c r="K27" s="10">
        <v>219.90880000000001</v>
      </c>
      <c r="L27" s="10">
        <v>231.8833333333333</v>
      </c>
      <c r="M27" s="6" t="s">
        <v>159</v>
      </c>
      <c r="N27" s="6" t="s">
        <v>187</v>
      </c>
      <c r="O27" s="6" t="s">
        <v>139</v>
      </c>
      <c r="P27" s="6" t="s">
        <v>140</v>
      </c>
      <c r="Q27" s="10">
        <v>46.483728760311841</v>
      </c>
      <c r="R27" s="10">
        <v>40.286623077903108</v>
      </c>
    </row>
    <row r="28" spans="1:18" x14ac:dyDescent="0.25">
      <c r="A28" s="8">
        <v>29</v>
      </c>
      <c r="B28" s="8" t="s">
        <v>192</v>
      </c>
      <c r="C28" s="8" t="s">
        <v>44</v>
      </c>
      <c r="D28" s="8" t="s">
        <v>28</v>
      </c>
      <c r="E28" s="8" t="s">
        <v>29</v>
      </c>
      <c r="F28" s="8" t="s">
        <v>96</v>
      </c>
      <c r="G28" s="8" t="s">
        <v>112</v>
      </c>
      <c r="H28" s="8" t="s">
        <v>122</v>
      </c>
      <c r="I28" s="11">
        <v>148.61845633311091</v>
      </c>
      <c r="J28" s="11">
        <v>148.55222316255839</v>
      </c>
      <c r="K28" s="11">
        <v>202.45428333333331</v>
      </c>
      <c r="L28" s="11">
        <v>266.73758333333342</v>
      </c>
      <c r="M28" s="8" t="s">
        <v>118</v>
      </c>
      <c r="N28" s="8" t="s">
        <v>170</v>
      </c>
      <c r="O28" s="8" t="s">
        <v>193</v>
      </c>
      <c r="P28" s="8" t="s">
        <v>125</v>
      </c>
      <c r="Q28" s="11">
        <v>47.685896180996579</v>
      </c>
      <c r="R28" s="11">
        <v>42.944529784860279</v>
      </c>
    </row>
    <row r="29" spans="1:18" x14ac:dyDescent="0.25">
      <c r="A29" s="6">
        <v>30</v>
      </c>
      <c r="B29" s="6" t="s">
        <v>194</v>
      </c>
      <c r="C29" s="6" t="s">
        <v>44</v>
      </c>
      <c r="D29" s="6" t="s">
        <v>28</v>
      </c>
      <c r="E29" s="6" t="s">
        <v>29</v>
      </c>
      <c r="F29" s="6" t="s">
        <v>96</v>
      </c>
      <c r="G29" s="6" t="s">
        <v>122</v>
      </c>
      <c r="H29" s="6" t="s">
        <v>112</v>
      </c>
      <c r="I29" s="10">
        <v>145.9773325040056</v>
      </c>
      <c r="J29" s="10">
        <v>145.88933639903391</v>
      </c>
      <c r="K29" s="10">
        <v>255.74388333333329</v>
      </c>
      <c r="L29" s="10">
        <v>265.62998333333331</v>
      </c>
      <c r="M29" s="6" t="s">
        <v>195</v>
      </c>
      <c r="N29" s="6" t="s">
        <v>196</v>
      </c>
      <c r="O29" s="6" t="s">
        <v>115</v>
      </c>
      <c r="P29" s="6" t="s">
        <v>197</v>
      </c>
      <c r="Q29" s="10">
        <v>47.245229900420597</v>
      </c>
      <c r="R29" s="10">
        <v>45.594971634872877</v>
      </c>
    </row>
    <row r="30" spans="1:18" x14ac:dyDescent="0.25">
      <c r="A30" s="8">
        <v>32</v>
      </c>
      <c r="B30" s="8" t="s">
        <v>201</v>
      </c>
      <c r="C30" s="8" t="s">
        <v>44</v>
      </c>
      <c r="D30" s="8" t="s">
        <v>28</v>
      </c>
      <c r="E30" s="8" t="s">
        <v>35</v>
      </c>
      <c r="F30" s="8" t="s">
        <v>76</v>
      </c>
      <c r="G30" s="8" t="s">
        <v>145</v>
      </c>
      <c r="H30" s="8" t="s">
        <v>78</v>
      </c>
      <c r="I30" s="11">
        <v>324.82784685582573</v>
      </c>
      <c r="J30" s="11">
        <v>330.65385365728412</v>
      </c>
      <c r="K30" s="11">
        <v>356.12246666666658</v>
      </c>
      <c r="L30" s="11">
        <v>333.43333333333328</v>
      </c>
      <c r="M30" s="8" t="s">
        <v>202</v>
      </c>
      <c r="N30" s="8" t="s">
        <v>203</v>
      </c>
      <c r="O30" s="8" t="s">
        <v>81</v>
      </c>
      <c r="P30" s="8" t="s">
        <v>204</v>
      </c>
      <c r="Q30" s="11">
        <v>65.688581946123335</v>
      </c>
      <c r="R30" s="11">
        <v>62.887753110635487</v>
      </c>
    </row>
    <row r="31" spans="1:18" x14ac:dyDescent="0.25">
      <c r="A31" s="6">
        <v>33</v>
      </c>
      <c r="B31" s="6" t="s">
        <v>205</v>
      </c>
      <c r="C31" s="6" t="s">
        <v>44</v>
      </c>
      <c r="D31" s="6" t="s">
        <v>28</v>
      </c>
      <c r="E31" s="6" t="s">
        <v>35</v>
      </c>
      <c r="F31" s="6" t="s">
        <v>76</v>
      </c>
      <c r="G31" s="6" t="s">
        <v>145</v>
      </c>
      <c r="H31" s="6" t="s">
        <v>84</v>
      </c>
      <c r="I31" s="10">
        <v>320.29500345641202</v>
      </c>
      <c r="J31" s="10">
        <v>320.93023294332693</v>
      </c>
      <c r="K31" s="10">
        <v>350.05456666666669</v>
      </c>
      <c r="L31" s="10">
        <v>317.31619999999998</v>
      </c>
      <c r="M31" s="6" t="s">
        <v>206</v>
      </c>
      <c r="N31" s="6" t="s">
        <v>207</v>
      </c>
      <c r="O31" s="6" t="s">
        <v>208</v>
      </c>
      <c r="P31" s="6" t="s">
        <v>209</v>
      </c>
      <c r="Q31" s="10">
        <v>66.126659936677697</v>
      </c>
      <c r="R31" s="10">
        <v>65.883968417687953</v>
      </c>
    </row>
    <row r="32" spans="1:18" x14ac:dyDescent="0.25">
      <c r="A32" s="8">
        <v>34</v>
      </c>
      <c r="B32" s="8" t="s">
        <v>210</v>
      </c>
      <c r="C32" s="8" t="s">
        <v>44</v>
      </c>
      <c r="D32" s="8" t="s">
        <v>28</v>
      </c>
      <c r="E32" s="8" t="s">
        <v>29</v>
      </c>
      <c r="F32" s="8" t="s">
        <v>130</v>
      </c>
      <c r="G32" s="8" t="s">
        <v>145</v>
      </c>
      <c r="H32" s="8" t="s">
        <v>154</v>
      </c>
      <c r="I32" s="11">
        <v>152.39467948024659</v>
      </c>
      <c r="J32" s="11">
        <v>154.03235985141359</v>
      </c>
      <c r="K32" s="11">
        <v>252.84703333333329</v>
      </c>
      <c r="L32" s="11">
        <v>291.75</v>
      </c>
      <c r="M32" s="8" t="s">
        <v>151</v>
      </c>
      <c r="N32" s="8" t="s">
        <v>211</v>
      </c>
      <c r="O32" s="8" t="s">
        <v>156</v>
      </c>
      <c r="P32" s="8" t="s">
        <v>185</v>
      </c>
      <c r="Q32" s="11">
        <v>42.287934939916333</v>
      </c>
      <c r="R32" s="11">
        <v>35.987183332600232</v>
      </c>
    </row>
    <row r="33" spans="1:18" x14ac:dyDescent="0.25">
      <c r="A33" s="6">
        <v>35</v>
      </c>
      <c r="B33" s="6" t="s">
        <v>212</v>
      </c>
      <c r="C33" s="6" t="s">
        <v>44</v>
      </c>
      <c r="D33" s="6" t="s">
        <v>28</v>
      </c>
      <c r="E33" s="6" t="s">
        <v>29</v>
      </c>
      <c r="F33" s="6" t="s">
        <v>130</v>
      </c>
      <c r="G33" s="6" t="s">
        <v>154</v>
      </c>
      <c r="H33" s="6" t="s">
        <v>145</v>
      </c>
      <c r="I33" s="10">
        <v>125.7416693023907</v>
      </c>
      <c r="J33" s="10">
        <v>123.9823800042885</v>
      </c>
      <c r="K33" s="10">
        <v>194.9381166666667</v>
      </c>
      <c r="L33" s="10">
        <v>194.95840000000001</v>
      </c>
      <c r="M33" s="6" t="s">
        <v>213</v>
      </c>
      <c r="N33" s="6" t="s">
        <v>160</v>
      </c>
      <c r="O33" s="6" t="s">
        <v>148</v>
      </c>
      <c r="P33" s="6" t="s">
        <v>149</v>
      </c>
      <c r="Q33" s="10">
        <v>45.475102570591687</v>
      </c>
      <c r="R33" s="10">
        <v>42.768923453873597</v>
      </c>
    </row>
    <row r="34" spans="1:18" x14ac:dyDescent="0.25">
      <c r="A34" s="8">
        <v>36</v>
      </c>
      <c r="B34" s="8" t="s">
        <v>214</v>
      </c>
      <c r="C34" s="8" t="s">
        <v>44</v>
      </c>
      <c r="D34" s="8" t="s">
        <v>28</v>
      </c>
      <c r="E34" s="8" t="s">
        <v>35</v>
      </c>
      <c r="F34" s="8" t="s">
        <v>88</v>
      </c>
      <c r="G34" s="8" t="s">
        <v>84</v>
      </c>
      <c r="H34" s="8" t="s">
        <v>90</v>
      </c>
      <c r="I34" s="11">
        <v>326.45811266430007</v>
      </c>
      <c r="J34" s="11">
        <v>326.59061742825281</v>
      </c>
      <c r="K34" s="11">
        <v>477.62115</v>
      </c>
      <c r="L34" s="11">
        <v>368.08333333333331</v>
      </c>
      <c r="M34" s="8" t="s">
        <v>215</v>
      </c>
      <c r="N34" s="8" t="s">
        <v>216</v>
      </c>
      <c r="O34" s="8" t="s">
        <v>208</v>
      </c>
      <c r="P34" s="8" t="s">
        <v>217</v>
      </c>
      <c r="Q34" s="11">
        <v>53.205170227322412</v>
      </c>
      <c r="R34" s="11">
        <v>59.004059141794428</v>
      </c>
    </row>
    <row r="35" spans="1:18" x14ac:dyDescent="0.25">
      <c r="A35" s="6">
        <v>39</v>
      </c>
      <c r="B35" s="6" t="s">
        <v>229</v>
      </c>
      <c r="C35" s="6" t="s">
        <v>44</v>
      </c>
      <c r="D35" s="6" t="s">
        <v>28</v>
      </c>
      <c r="E35" s="6" t="s">
        <v>31</v>
      </c>
      <c r="F35" s="6" t="s">
        <v>31</v>
      </c>
      <c r="G35" s="6" t="s">
        <v>224</v>
      </c>
      <c r="H35" s="6" t="s">
        <v>230</v>
      </c>
      <c r="I35" s="10">
        <v>325.41591380093507</v>
      </c>
      <c r="J35" s="10">
        <v>325.05351767503993</v>
      </c>
      <c r="K35" s="10">
        <v>392.37093333333343</v>
      </c>
      <c r="L35" s="10">
        <v>411.88261666666671</v>
      </c>
      <c r="M35" s="6" t="s">
        <v>231</v>
      </c>
      <c r="N35" s="6" t="s">
        <v>226</v>
      </c>
      <c r="O35" s="6" t="s">
        <v>232</v>
      </c>
      <c r="P35" s="6" t="s">
        <v>233</v>
      </c>
      <c r="Q35" s="10">
        <v>61.64781186469645</v>
      </c>
      <c r="R35" s="10">
        <v>56.977909507314003</v>
      </c>
    </row>
    <row r="36" spans="1:18" x14ac:dyDescent="0.25">
      <c r="A36" s="8">
        <v>40</v>
      </c>
      <c r="B36" s="8" t="s">
        <v>234</v>
      </c>
      <c r="C36" s="8" t="s">
        <v>44</v>
      </c>
      <c r="D36" s="8" t="s">
        <v>28</v>
      </c>
      <c r="E36" s="8" t="s">
        <v>31</v>
      </c>
      <c r="F36" s="8" t="s">
        <v>31</v>
      </c>
      <c r="G36" s="8" t="s">
        <v>224</v>
      </c>
      <c r="H36" s="8" t="s">
        <v>235</v>
      </c>
      <c r="I36" s="11">
        <v>326.42355177683419</v>
      </c>
      <c r="J36" s="11">
        <v>325.95210910875733</v>
      </c>
      <c r="K36" s="11">
        <v>395</v>
      </c>
      <c r="L36" s="11">
        <v>319.50481666666673</v>
      </c>
      <c r="M36" s="8" t="s">
        <v>225</v>
      </c>
      <c r="N36" s="8" t="s">
        <v>226</v>
      </c>
      <c r="O36" s="8" t="s">
        <v>236</v>
      </c>
      <c r="P36" s="8" t="s">
        <v>237</v>
      </c>
      <c r="Q36" s="11">
        <v>61.329177126178159</v>
      </c>
      <c r="R36" s="11">
        <v>62.637050944032119</v>
      </c>
    </row>
    <row r="37" spans="1:18" x14ac:dyDescent="0.25">
      <c r="A37" s="6">
        <v>41</v>
      </c>
      <c r="B37" s="6" t="s">
        <v>238</v>
      </c>
      <c r="C37" s="6" t="s">
        <v>44</v>
      </c>
      <c r="D37" s="6" t="s">
        <v>28</v>
      </c>
      <c r="E37" s="6" t="s">
        <v>31</v>
      </c>
      <c r="F37" s="6" t="s">
        <v>31</v>
      </c>
      <c r="G37" s="6" t="s">
        <v>235</v>
      </c>
      <c r="H37" s="6" t="s">
        <v>224</v>
      </c>
      <c r="I37" s="10">
        <v>325.44929939593982</v>
      </c>
      <c r="J37" s="10">
        <v>325.19747839743411</v>
      </c>
      <c r="K37" s="10">
        <v>353.84784999999999</v>
      </c>
      <c r="L37" s="10">
        <v>372.55040000000002</v>
      </c>
      <c r="M37" s="6" t="s">
        <v>239</v>
      </c>
      <c r="N37" s="6" t="s">
        <v>240</v>
      </c>
      <c r="O37" s="6" t="s">
        <v>227</v>
      </c>
      <c r="P37" s="6" t="s">
        <v>241</v>
      </c>
      <c r="Q37" s="10">
        <v>67.12149214202077</v>
      </c>
      <c r="R37" s="10">
        <v>59.843107131271857</v>
      </c>
    </row>
    <row r="38" spans="1:18" x14ac:dyDescent="0.25">
      <c r="A38" s="8">
        <v>43</v>
      </c>
      <c r="B38" s="8" t="s">
        <v>248</v>
      </c>
      <c r="C38" s="8" t="s">
        <v>44</v>
      </c>
      <c r="D38" s="8" t="s">
        <v>28</v>
      </c>
      <c r="E38" s="8" t="s">
        <v>33</v>
      </c>
      <c r="F38" s="8" t="s">
        <v>33</v>
      </c>
      <c r="G38" s="8" t="s">
        <v>243</v>
      </c>
      <c r="H38" s="8" t="s">
        <v>249</v>
      </c>
      <c r="I38" s="11">
        <v>322.17747430370082</v>
      </c>
      <c r="J38" s="11">
        <v>321.6269481176106</v>
      </c>
      <c r="K38" s="11">
        <v>446.45</v>
      </c>
      <c r="L38" s="11">
        <v>341.44238333333328</v>
      </c>
      <c r="M38" s="8" t="s">
        <v>250</v>
      </c>
      <c r="N38" s="8" t="s">
        <v>251</v>
      </c>
      <c r="O38" s="8" t="s">
        <v>252</v>
      </c>
      <c r="P38" s="8" t="s">
        <v>253</v>
      </c>
      <c r="Q38" s="11">
        <v>64.4401967523076</v>
      </c>
      <c r="R38" s="11">
        <v>64.281452951025713</v>
      </c>
    </row>
    <row r="39" spans="1:18" x14ac:dyDescent="0.25">
      <c r="A39" s="6">
        <v>44</v>
      </c>
      <c r="B39" s="6" t="s">
        <v>254</v>
      </c>
      <c r="C39" s="6" t="s">
        <v>44</v>
      </c>
      <c r="D39" s="6" t="s">
        <v>28</v>
      </c>
      <c r="E39" s="6" t="s">
        <v>33</v>
      </c>
      <c r="F39" s="6" t="s">
        <v>33</v>
      </c>
      <c r="G39" s="6" t="s">
        <v>249</v>
      </c>
      <c r="H39" s="6" t="s">
        <v>243</v>
      </c>
      <c r="I39" s="10">
        <v>324.42978832438968</v>
      </c>
      <c r="J39" s="10">
        <v>325.03506672854411</v>
      </c>
      <c r="K39" s="10">
        <v>408.62676666666658</v>
      </c>
      <c r="L39" s="10">
        <v>325.26549999999997</v>
      </c>
      <c r="M39" s="6" t="s">
        <v>255</v>
      </c>
      <c r="N39" s="6" t="s">
        <v>256</v>
      </c>
      <c r="O39" s="6" t="s">
        <v>257</v>
      </c>
      <c r="P39" s="6" t="s">
        <v>258</v>
      </c>
      <c r="Q39" s="10">
        <v>62.280657722390274</v>
      </c>
      <c r="R39" s="10">
        <v>63.759140657029413</v>
      </c>
    </row>
    <row r="40" spans="1:18" x14ac:dyDescent="0.25">
      <c r="A40" s="8">
        <v>45</v>
      </c>
      <c r="B40" s="8" t="s">
        <v>259</v>
      </c>
      <c r="C40" s="8" t="s">
        <v>44</v>
      </c>
      <c r="D40" s="8" t="s">
        <v>28</v>
      </c>
      <c r="E40" s="8" t="s">
        <v>33</v>
      </c>
      <c r="F40" s="8" t="s">
        <v>33</v>
      </c>
      <c r="G40" s="8" t="s">
        <v>243</v>
      </c>
      <c r="H40" s="8" t="s">
        <v>260</v>
      </c>
      <c r="I40" s="11">
        <v>322.27359408346013</v>
      </c>
      <c r="J40" s="11">
        <v>322.64698261892221</v>
      </c>
      <c r="K40" s="11">
        <v>446.45</v>
      </c>
      <c r="L40" s="11">
        <v>349.42598333333342</v>
      </c>
      <c r="M40" s="8" t="s">
        <v>250</v>
      </c>
      <c r="N40" s="8" t="s">
        <v>251</v>
      </c>
      <c r="O40" s="8" t="s">
        <v>261</v>
      </c>
      <c r="P40" s="8" t="s">
        <v>262</v>
      </c>
      <c r="Q40" s="11">
        <v>64.459443162404568</v>
      </c>
      <c r="R40" s="11">
        <v>59.875837357006112</v>
      </c>
    </row>
    <row r="41" spans="1:18" x14ac:dyDescent="0.25">
      <c r="A41" s="6">
        <v>46</v>
      </c>
      <c r="B41" s="6" t="s">
        <v>263</v>
      </c>
      <c r="C41" s="6" t="s">
        <v>44</v>
      </c>
      <c r="D41" s="6" t="s">
        <v>28</v>
      </c>
      <c r="E41" s="6" t="s">
        <v>33</v>
      </c>
      <c r="F41" s="6" t="s">
        <v>33</v>
      </c>
      <c r="G41" s="6" t="s">
        <v>260</v>
      </c>
      <c r="H41" s="6" t="s">
        <v>243</v>
      </c>
      <c r="I41" s="10">
        <v>324.93502838087829</v>
      </c>
      <c r="J41" s="10">
        <v>325.72634804024972</v>
      </c>
      <c r="K41" s="10">
        <v>394.6350333333333</v>
      </c>
      <c r="L41" s="10">
        <v>329.75</v>
      </c>
      <c r="M41" s="6" t="s">
        <v>264</v>
      </c>
      <c r="N41" s="6" t="s">
        <v>265</v>
      </c>
      <c r="O41" s="6" t="s">
        <v>246</v>
      </c>
      <c r="P41" s="6" t="s">
        <v>258</v>
      </c>
      <c r="Q41" s="10">
        <v>64.174151856789692</v>
      </c>
      <c r="R41" s="10">
        <v>63.702556250659107</v>
      </c>
    </row>
    <row r="42" spans="1:18" x14ac:dyDescent="0.25">
      <c r="A42" s="8">
        <v>47</v>
      </c>
      <c r="B42" s="8" t="s">
        <v>266</v>
      </c>
      <c r="C42" s="8" t="s">
        <v>44</v>
      </c>
      <c r="D42" s="8" t="s">
        <v>28</v>
      </c>
      <c r="E42" s="8" t="s">
        <v>31</v>
      </c>
      <c r="F42" s="8" t="s">
        <v>31</v>
      </c>
      <c r="G42" s="8" t="s">
        <v>235</v>
      </c>
      <c r="H42" s="8" t="s">
        <v>230</v>
      </c>
      <c r="I42" s="11">
        <v>325.38165129441143</v>
      </c>
      <c r="J42" s="11">
        <v>325.17312937934167</v>
      </c>
      <c r="K42" s="11">
        <v>353.84784999999999</v>
      </c>
      <c r="L42" s="11">
        <v>412.48813333333328</v>
      </c>
      <c r="M42" s="8" t="s">
        <v>239</v>
      </c>
      <c r="N42" s="8" t="s">
        <v>240</v>
      </c>
      <c r="O42" s="8" t="s">
        <v>267</v>
      </c>
      <c r="P42" s="8" t="s">
        <v>268</v>
      </c>
      <c r="Q42" s="11">
        <v>67.10753118315435</v>
      </c>
      <c r="R42" s="11">
        <v>57.067129814922858</v>
      </c>
    </row>
    <row r="43" spans="1:18" x14ac:dyDescent="0.25">
      <c r="A43" s="6">
        <v>49</v>
      </c>
      <c r="B43" s="6" t="s">
        <v>273</v>
      </c>
      <c r="C43" s="6" t="s">
        <v>44</v>
      </c>
      <c r="D43" s="6" t="s">
        <v>28</v>
      </c>
      <c r="E43" s="6" t="s">
        <v>33</v>
      </c>
      <c r="F43" s="6" t="s">
        <v>33</v>
      </c>
      <c r="G43" s="6" t="s">
        <v>249</v>
      </c>
      <c r="H43" s="6" t="s">
        <v>260</v>
      </c>
      <c r="I43" s="10">
        <v>323.75364208554902</v>
      </c>
      <c r="J43" s="10">
        <v>324.12513972731608</v>
      </c>
      <c r="K43" s="10">
        <v>407.74795</v>
      </c>
      <c r="L43" s="10">
        <v>346.04665</v>
      </c>
      <c r="M43" s="6" t="s">
        <v>255</v>
      </c>
      <c r="N43" s="6" t="s">
        <v>274</v>
      </c>
      <c r="O43" s="6" t="s">
        <v>275</v>
      </c>
      <c r="P43" s="6" t="s">
        <v>276</v>
      </c>
      <c r="Q43" s="10">
        <v>62.32616891116043</v>
      </c>
      <c r="R43" s="10">
        <v>60.09883681712126</v>
      </c>
    </row>
    <row r="44" spans="1:18" x14ac:dyDescent="0.25">
      <c r="A44" s="8">
        <v>50</v>
      </c>
      <c r="B44" s="8" t="s">
        <v>277</v>
      </c>
      <c r="C44" s="8" t="s">
        <v>44</v>
      </c>
      <c r="D44" s="8" t="s">
        <v>28</v>
      </c>
      <c r="E44" s="8" t="s">
        <v>33</v>
      </c>
      <c r="F44" s="8" t="s">
        <v>33</v>
      </c>
      <c r="G44" s="8" t="s">
        <v>260</v>
      </c>
      <c r="H44" s="8" t="s">
        <v>249</v>
      </c>
      <c r="I44" s="11">
        <v>326.46596224309337</v>
      </c>
      <c r="J44" s="11">
        <v>326.13414239444489</v>
      </c>
      <c r="K44" s="11">
        <v>420.64665000000002</v>
      </c>
      <c r="L44" s="11">
        <v>351.75</v>
      </c>
      <c r="M44" s="8" t="s">
        <v>278</v>
      </c>
      <c r="N44" s="8" t="s">
        <v>279</v>
      </c>
      <c r="O44" s="8" t="s">
        <v>252</v>
      </c>
      <c r="P44" s="8" t="s">
        <v>280</v>
      </c>
      <c r="Q44" s="11">
        <v>63.924179776882589</v>
      </c>
      <c r="R44" s="11">
        <v>63.016566640353268</v>
      </c>
    </row>
    <row r="47" spans="1:18" ht="27.95" customHeight="1" x14ac:dyDescent="0.25">
      <c r="A47" s="55" t="s">
        <v>329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spans="1:18" ht="3.9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50" spans="1:13" ht="30" x14ac:dyDescent="0.25">
      <c r="A50" s="9" t="s">
        <v>59</v>
      </c>
      <c r="B50" s="9" t="s">
        <v>60</v>
      </c>
      <c r="C50" s="9" t="s">
        <v>292</v>
      </c>
      <c r="D50" s="9" t="s">
        <v>24</v>
      </c>
      <c r="E50" s="9" t="s">
        <v>61</v>
      </c>
      <c r="F50" s="9" t="s">
        <v>62</v>
      </c>
      <c r="G50" s="9" t="s">
        <v>293</v>
      </c>
      <c r="H50" s="9" t="s">
        <v>294</v>
      </c>
      <c r="I50" s="9" t="s">
        <v>295</v>
      </c>
      <c r="J50" s="9" t="s">
        <v>296</v>
      </c>
      <c r="K50" s="9" t="s">
        <v>297</v>
      </c>
      <c r="L50" s="9" t="s">
        <v>298</v>
      </c>
      <c r="M50" s="9" t="s">
        <v>299</v>
      </c>
    </row>
    <row r="51" spans="1:13" x14ac:dyDescent="0.25">
      <c r="A51" s="6">
        <v>1</v>
      </c>
      <c r="B51" s="6" t="s">
        <v>75</v>
      </c>
      <c r="C51" s="6" t="s">
        <v>300</v>
      </c>
      <c r="D51" s="6" t="s">
        <v>28</v>
      </c>
      <c r="E51" s="6" t="s">
        <v>35</v>
      </c>
      <c r="F51" s="6" t="s">
        <v>76</v>
      </c>
      <c r="G51" s="10">
        <v>30</v>
      </c>
      <c r="H51" s="10">
        <v>23.65</v>
      </c>
      <c r="I51" s="10">
        <v>25.7</v>
      </c>
      <c r="J51" s="10">
        <v>7.6</v>
      </c>
      <c r="K51" s="10">
        <v>61.423733333333331</v>
      </c>
      <c r="L51" s="10">
        <v>45.18333333333333</v>
      </c>
      <c r="M51" s="10">
        <v>150.2833333333333</v>
      </c>
    </row>
    <row r="52" spans="1:13" x14ac:dyDescent="0.25">
      <c r="A52" s="8">
        <v>1</v>
      </c>
      <c r="B52" s="8" t="s">
        <v>75</v>
      </c>
      <c r="C52" s="8" t="s">
        <v>301</v>
      </c>
      <c r="D52" s="8" t="s">
        <v>28</v>
      </c>
      <c r="E52" s="8" t="s">
        <v>35</v>
      </c>
      <c r="F52" s="8" t="s">
        <v>76</v>
      </c>
      <c r="G52" s="11">
        <v>0</v>
      </c>
      <c r="H52" s="11">
        <v>18.100000000000001</v>
      </c>
      <c r="I52" s="11">
        <v>6.6666666666666666E-2</v>
      </c>
      <c r="J52" s="11">
        <v>1.75</v>
      </c>
      <c r="K52" s="11">
        <v>57.690849999999998</v>
      </c>
      <c r="L52" s="11">
        <v>41.383333333333333</v>
      </c>
      <c r="M52" s="11">
        <v>192.51666666666671</v>
      </c>
    </row>
    <row r="53" spans="1:13" x14ac:dyDescent="0.25">
      <c r="A53" s="6">
        <v>2</v>
      </c>
      <c r="B53" s="6" t="s">
        <v>83</v>
      </c>
      <c r="C53" s="6" t="s">
        <v>300</v>
      </c>
      <c r="D53" s="6" t="s">
        <v>28</v>
      </c>
      <c r="E53" s="6" t="s">
        <v>35</v>
      </c>
      <c r="F53" s="6" t="s">
        <v>76</v>
      </c>
      <c r="G53" s="10">
        <v>30</v>
      </c>
      <c r="H53" s="10">
        <v>23.65</v>
      </c>
      <c r="I53" s="10">
        <v>25.7</v>
      </c>
      <c r="J53" s="10">
        <v>7.6</v>
      </c>
      <c r="K53" s="10">
        <v>61.423733333333331</v>
      </c>
      <c r="L53" s="10">
        <v>45.18333333333333</v>
      </c>
      <c r="M53" s="10">
        <v>150.2833333333333</v>
      </c>
    </row>
    <row r="54" spans="1:13" x14ac:dyDescent="0.25">
      <c r="A54" s="8">
        <v>2</v>
      </c>
      <c r="B54" s="8" t="s">
        <v>83</v>
      </c>
      <c r="C54" s="8" t="s">
        <v>301</v>
      </c>
      <c r="D54" s="8" t="s">
        <v>28</v>
      </c>
      <c r="E54" s="8" t="s">
        <v>35</v>
      </c>
      <c r="F54" s="8" t="s">
        <v>76</v>
      </c>
      <c r="G54" s="11">
        <v>0</v>
      </c>
      <c r="H54" s="11">
        <v>16.43333333333333</v>
      </c>
      <c r="I54" s="11">
        <v>6.9833333333333334</v>
      </c>
      <c r="J54" s="11">
        <v>5</v>
      </c>
      <c r="K54" s="11">
        <v>60.018216666666667</v>
      </c>
      <c r="L54" s="11">
        <v>42.633333333333333</v>
      </c>
      <c r="M54" s="11">
        <v>167.95</v>
      </c>
    </row>
    <row r="55" spans="1:13" x14ac:dyDescent="0.25">
      <c r="A55" s="6">
        <v>3</v>
      </c>
      <c r="B55" s="6" t="s">
        <v>87</v>
      </c>
      <c r="C55" s="6" t="s">
        <v>300</v>
      </c>
      <c r="D55" s="6" t="s">
        <v>28</v>
      </c>
      <c r="E55" s="6" t="s">
        <v>35</v>
      </c>
      <c r="F55" s="6" t="s">
        <v>88</v>
      </c>
      <c r="G55" s="10">
        <v>38.333333333333343</v>
      </c>
      <c r="H55" s="10">
        <v>10.56666666666667</v>
      </c>
      <c r="I55" s="10">
        <v>0</v>
      </c>
      <c r="J55" s="10">
        <v>0.66666666666666663</v>
      </c>
      <c r="K55" s="10">
        <v>49.31666666666667</v>
      </c>
      <c r="L55" s="10">
        <v>44.583333333333343</v>
      </c>
      <c r="M55" s="10">
        <v>202.15</v>
      </c>
    </row>
    <row r="56" spans="1:13" x14ac:dyDescent="0.25">
      <c r="A56" s="8">
        <v>3</v>
      </c>
      <c r="B56" s="8" t="s">
        <v>87</v>
      </c>
      <c r="C56" s="8" t="s">
        <v>301</v>
      </c>
      <c r="D56" s="8" t="s">
        <v>28</v>
      </c>
      <c r="E56" s="8" t="s">
        <v>35</v>
      </c>
      <c r="F56" s="8" t="s">
        <v>88</v>
      </c>
      <c r="G56" s="11">
        <v>0</v>
      </c>
      <c r="H56" s="11">
        <v>35.983333333333327</v>
      </c>
      <c r="I56" s="11">
        <v>0.35</v>
      </c>
      <c r="J56" s="11">
        <v>4.083333333333333</v>
      </c>
      <c r="K56" s="11">
        <v>62.087049999999998</v>
      </c>
      <c r="L56" s="11">
        <v>50.533333333333331</v>
      </c>
      <c r="M56" s="11">
        <v>205.36038333333329</v>
      </c>
    </row>
    <row r="57" spans="1:13" x14ac:dyDescent="0.25">
      <c r="A57" s="6">
        <v>5</v>
      </c>
      <c r="B57" s="6" t="s">
        <v>102</v>
      </c>
      <c r="C57" s="6" t="s">
        <v>300</v>
      </c>
      <c r="D57" s="6" t="s">
        <v>28</v>
      </c>
      <c r="E57" s="6" t="s">
        <v>29</v>
      </c>
      <c r="F57" s="6" t="s">
        <v>96</v>
      </c>
      <c r="G57" s="10">
        <v>0</v>
      </c>
      <c r="H57" s="10">
        <v>25.883333333333329</v>
      </c>
      <c r="I57" s="10">
        <v>4.9333333333333336</v>
      </c>
      <c r="J57" s="10">
        <v>5.9333333333333336</v>
      </c>
      <c r="K57" s="10">
        <v>52.333333333333343</v>
      </c>
      <c r="L57" s="10">
        <v>37.574966666666668</v>
      </c>
      <c r="M57" s="10">
        <v>82.933616666666666</v>
      </c>
    </row>
    <row r="58" spans="1:13" x14ac:dyDescent="0.25">
      <c r="A58" s="8">
        <v>5</v>
      </c>
      <c r="B58" s="8" t="s">
        <v>102</v>
      </c>
      <c r="C58" s="8" t="s">
        <v>301</v>
      </c>
      <c r="D58" s="8" t="s">
        <v>28</v>
      </c>
      <c r="E58" s="8" t="s">
        <v>29</v>
      </c>
      <c r="F58" s="8" t="s">
        <v>96</v>
      </c>
      <c r="G58" s="11">
        <v>0</v>
      </c>
      <c r="H58" s="11">
        <v>31.8</v>
      </c>
      <c r="I58" s="11">
        <v>0</v>
      </c>
      <c r="J58" s="11">
        <v>1.5</v>
      </c>
      <c r="K58" s="11">
        <v>30.466666666666669</v>
      </c>
      <c r="L58" s="11">
        <v>23</v>
      </c>
      <c r="M58" s="11">
        <v>134.3833333333333</v>
      </c>
    </row>
    <row r="59" spans="1:13" x14ac:dyDescent="0.25">
      <c r="A59" s="6">
        <v>6</v>
      </c>
      <c r="B59" s="6" t="s">
        <v>108</v>
      </c>
      <c r="C59" s="6" t="s">
        <v>300</v>
      </c>
      <c r="D59" s="6" t="s">
        <v>28</v>
      </c>
      <c r="E59" s="6" t="s">
        <v>29</v>
      </c>
      <c r="F59" s="6" t="s">
        <v>96</v>
      </c>
      <c r="G59" s="10">
        <v>0</v>
      </c>
      <c r="H59" s="10">
        <v>30.18333333333333</v>
      </c>
      <c r="I59" s="10">
        <v>14.29151666666667</v>
      </c>
      <c r="J59" s="10">
        <v>2.1</v>
      </c>
      <c r="K59" s="10">
        <v>48.092233333333333</v>
      </c>
      <c r="L59" s="10">
        <v>33.450000000000003</v>
      </c>
      <c r="M59" s="10">
        <v>93.4</v>
      </c>
    </row>
    <row r="60" spans="1:13" x14ac:dyDescent="0.25">
      <c r="A60" s="8">
        <v>6</v>
      </c>
      <c r="B60" s="8" t="s">
        <v>108</v>
      </c>
      <c r="C60" s="8" t="s">
        <v>301</v>
      </c>
      <c r="D60" s="8" t="s">
        <v>28</v>
      </c>
      <c r="E60" s="8" t="s">
        <v>29</v>
      </c>
      <c r="F60" s="8" t="s">
        <v>96</v>
      </c>
      <c r="G60" s="11">
        <v>0</v>
      </c>
      <c r="H60" s="11">
        <v>69.483333333333334</v>
      </c>
      <c r="I60" s="11">
        <v>9.9499999999999993</v>
      </c>
      <c r="J60" s="11">
        <v>1.716666666666667</v>
      </c>
      <c r="K60" s="11">
        <v>25.133333333333329</v>
      </c>
      <c r="L60" s="11">
        <v>23.43333333333333</v>
      </c>
      <c r="M60" s="11">
        <v>144.6333333333333</v>
      </c>
    </row>
    <row r="61" spans="1:13" x14ac:dyDescent="0.25">
      <c r="A61" s="6">
        <v>7</v>
      </c>
      <c r="B61" s="6" t="s">
        <v>111</v>
      </c>
      <c r="C61" s="6" t="s">
        <v>300</v>
      </c>
      <c r="D61" s="6" t="s">
        <v>28</v>
      </c>
      <c r="E61" s="6" t="s">
        <v>29</v>
      </c>
      <c r="F61" s="6" t="s">
        <v>96</v>
      </c>
      <c r="G61" s="10">
        <v>0</v>
      </c>
      <c r="H61" s="10">
        <v>29.40441666666667</v>
      </c>
      <c r="I61" s="10">
        <v>9.2371500000000015</v>
      </c>
      <c r="J61" s="10">
        <v>8.0166666666666675</v>
      </c>
      <c r="K61" s="10">
        <v>55.05</v>
      </c>
      <c r="L61" s="10">
        <v>38.85</v>
      </c>
      <c r="M61" s="10">
        <v>92.333333333333329</v>
      </c>
    </row>
    <row r="62" spans="1:13" x14ac:dyDescent="0.25">
      <c r="A62" s="8">
        <v>7</v>
      </c>
      <c r="B62" s="8" t="s">
        <v>111</v>
      </c>
      <c r="C62" s="8" t="s">
        <v>301</v>
      </c>
      <c r="D62" s="8" t="s">
        <v>28</v>
      </c>
      <c r="E62" s="8" t="s">
        <v>29</v>
      </c>
      <c r="F62" s="8" t="s">
        <v>96</v>
      </c>
      <c r="G62" s="11">
        <v>0</v>
      </c>
      <c r="H62" s="11">
        <v>71.083333333333329</v>
      </c>
      <c r="I62" s="11">
        <v>4.05</v>
      </c>
      <c r="J62" s="11">
        <v>11.6</v>
      </c>
      <c r="K62" s="11">
        <v>38.68333333333333</v>
      </c>
      <c r="L62" s="11">
        <v>26.81666666666667</v>
      </c>
      <c r="M62" s="11">
        <v>116.98333333333331</v>
      </c>
    </row>
    <row r="63" spans="1:13" x14ac:dyDescent="0.25">
      <c r="A63" s="6">
        <v>8</v>
      </c>
      <c r="B63" s="6" t="s">
        <v>117</v>
      </c>
      <c r="C63" s="6" t="s">
        <v>300</v>
      </c>
      <c r="D63" s="6" t="s">
        <v>28</v>
      </c>
      <c r="E63" s="6" t="s">
        <v>29</v>
      </c>
      <c r="F63" s="6" t="s">
        <v>96</v>
      </c>
      <c r="G63" s="10">
        <v>0</v>
      </c>
      <c r="H63" s="10">
        <v>12.03333333333333</v>
      </c>
      <c r="I63" s="10">
        <v>4.75</v>
      </c>
      <c r="J63" s="10">
        <v>0</v>
      </c>
      <c r="K63" s="10">
        <v>46.9</v>
      </c>
      <c r="L63" s="10">
        <v>35.549999999999997</v>
      </c>
      <c r="M63" s="10">
        <v>100.5468</v>
      </c>
    </row>
    <row r="64" spans="1:13" x14ac:dyDescent="0.25">
      <c r="A64" s="8">
        <v>8</v>
      </c>
      <c r="B64" s="8" t="s">
        <v>117</v>
      </c>
      <c r="C64" s="8" t="s">
        <v>301</v>
      </c>
      <c r="D64" s="8" t="s">
        <v>28</v>
      </c>
      <c r="E64" s="8" t="s">
        <v>29</v>
      </c>
      <c r="F64" s="8" t="s">
        <v>96</v>
      </c>
      <c r="G64" s="11">
        <v>0</v>
      </c>
      <c r="H64" s="11">
        <v>69.483333333333334</v>
      </c>
      <c r="I64" s="11">
        <v>9.9499999999999993</v>
      </c>
      <c r="J64" s="11">
        <v>1.2666666666666671</v>
      </c>
      <c r="K64" s="11">
        <v>25.12543333333333</v>
      </c>
      <c r="L64" s="11">
        <v>23.43333333333333</v>
      </c>
      <c r="M64" s="11">
        <v>143.44999999999999</v>
      </c>
    </row>
    <row r="65" spans="1:13" x14ac:dyDescent="0.25">
      <c r="A65" s="6">
        <v>9</v>
      </c>
      <c r="B65" s="6" t="s">
        <v>121</v>
      </c>
      <c r="C65" s="6" t="s">
        <v>300</v>
      </c>
      <c r="D65" s="6" t="s">
        <v>28</v>
      </c>
      <c r="E65" s="6" t="s">
        <v>29</v>
      </c>
      <c r="F65" s="6" t="s">
        <v>96</v>
      </c>
      <c r="G65" s="10">
        <v>0</v>
      </c>
      <c r="H65" s="10">
        <v>68.95</v>
      </c>
      <c r="I65" s="10">
        <v>8.15</v>
      </c>
      <c r="J65" s="10">
        <v>8.0166666666666675</v>
      </c>
      <c r="K65" s="10">
        <v>58.3</v>
      </c>
      <c r="L65" s="10">
        <v>42.616666666666667</v>
      </c>
      <c r="M65" s="10">
        <v>113.4713666666667</v>
      </c>
    </row>
    <row r="66" spans="1:13" x14ac:dyDescent="0.25">
      <c r="A66" s="8">
        <v>9</v>
      </c>
      <c r="B66" s="8" t="s">
        <v>121</v>
      </c>
      <c r="C66" s="8" t="s">
        <v>301</v>
      </c>
      <c r="D66" s="8" t="s">
        <v>28</v>
      </c>
      <c r="E66" s="8" t="s">
        <v>29</v>
      </c>
      <c r="F66" s="8" t="s">
        <v>96</v>
      </c>
      <c r="G66" s="11">
        <v>0</v>
      </c>
      <c r="H66" s="11">
        <v>48.18333333333333</v>
      </c>
      <c r="I66" s="11">
        <v>17.666666666666671</v>
      </c>
      <c r="J66" s="11">
        <v>9.9</v>
      </c>
      <c r="K66" s="11">
        <v>51.033333333333331</v>
      </c>
      <c r="L66" s="11">
        <v>37.133333333333333</v>
      </c>
      <c r="M66" s="11">
        <v>121.65</v>
      </c>
    </row>
    <row r="67" spans="1:13" x14ac:dyDescent="0.25">
      <c r="A67" s="6">
        <v>10</v>
      </c>
      <c r="B67" s="6" t="s">
        <v>126</v>
      </c>
      <c r="C67" s="6" t="s">
        <v>300</v>
      </c>
      <c r="D67" s="6" t="s">
        <v>28</v>
      </c>
      <c r="E67" s="6" t="s">
        <v>29</v>
      </c>
      <c r="F67" s="6" t="s">
        <v>96</v>
      </c>
      <c r="G67" s="10">
        <v>0</v>
      </c>
      <c r="H67" s="10">
        <v>35.56666666666667</v>
      </c>
      <c r="I67" s="10">
        <v>26.165716666666661</v>
      </c>
      <c r="J67" s="10">
        <v>2.0499999999999998</v>
      </c>
      <c r="K67" s="10">
        <v>63.035266666666672</v>
      </c>
      <c r="L67" s="10">
        <v>45.45</v>
      </c>
      <c r="M67" s="10">
        <v>75</v>
      </c>
    </row>
    <row r="68" spans="1:13" x14ac:dyDescent="0.25">
      <c r="A68" s="8">
        <v>10</v>
      </c>
      <c r="B68" s="8" t="s">
        <v>126</v>
      </c>
      <c r="C68" s="8" t="s">
        <v>301</v>
      </c>
      <c r="D68" s="8" t="s">
        <v>28</v>
      </c>
      <c r="E68" s="8" t="s">
        <v>29</v>
      </c>
      <c r="F68" s="8" t="s">
        <v>96</v>
      </c>
      <c r="G68" s="11">
        <v>0</v>
      </c>
      <c r="H68" s="11">
        <v>69.483333333333334</v>
      </c>
      <c r="I68" s="11">
        <v>9.9499999999999993</v>
      </c>
      <c r="J68" s="11">
        <v>1.716666666666667</v>
      </c>
      <c r="K68" s="11">
        <v>25.133333333333329</v>
      </c>
      <c r="L68" s="11">
        <v>23.43333333333333</v>
      </c>
      <c r="M68" s="11">
        <v>144.6333333333333</v>
      </c>
    </row>
    <row r="69" spans="1:13" x14ac:dyDescent="0.25">
      <c r="A69" s="6">
        <v>12</v>
      </c>
      <c r="B69" s="6" t="s">
        <v>136</v>
      </c>
      <c r="C69" s="6" t="s">
        <v>300</v>
      </c>
      <c r="D69" s="6" t="s">
        <v>28</v>
      </c>
      <c r="E69" s="6" t="s">
        <v>29</v>
      </c>
      <c r="F69" s="6" t="s">
        <v>130</v>
      </c>
      <c r="G69" s="10">
        <v>0</v>
      </c>
      <c r="H69" s="10">
        <v>26.368866666666669</v>
      </c>
      <c r="I69" s="10">
        <v>7.3148666666666662</v>
      </c>
      <c r="J69" s="10">
        <v>0</v>
      </c>
      <c r="K69" s="10">
        <v>48.733333333333327</v>
      </c>
      <c r="L69" s="10">
        <v>36.266666666666673</v>
      </c>
      <c r="M69" s="10">
        <v>81.2</v>
      </c>
    </row>
    <row r="70" spans="1:13" x14ac:dyDescent="0.25">
      <c r="A70" s="8">
        <v>12</v>
      </c>
      <c r="B70" s="8" t="s">
        <v>136</v>
      </c>
      <c r="C70" s="8" t="s">
        <v>301</v>
      </c>
      <c r="D70" s="8" t="s">
        <v>28</v>
      </c>
      <c r="E70" s="8" t="s">
        <v>29</v>
      </c>
      <c r="F70" s="8" t="s">
        <v>130</v>
      </c>
      <c r="G70" s="11">
        <v>0</v>
      </c>
      <c r="H70" s="11">
        <v>23.716666666666669</v>
      </c>
      <c r="I70" s="11">
        <v>4.4333333333333336</v>
      </c>
      <c r="J70" s="11">
        <v>9.5500000000000007</v>
      </c>
      <c r="K70" s="11">
        <v>50.65</v>
      </c>
      <c r="L70" s="11">
        <v>34.233333333333327</v>
      </c>
      <c r="M70" s="11">
        <v>109.3</v>
      </c>
    </row>
    <row r="71" spans="1:13" x14ac:dyDescent="0.25">
      <c r="A71" s="6">
        <v>13</v>
      </c>
      <c r="B71" s="6" t="s">
        <v>141</v>
      </c>
      <c r="C71" s="6" t="s">
        <v>300</v>
      </c>
      <c r="D71" s="6" t="s">
        <v>28</v>
      </c>
      <c r="E71" s="6" t="s">
        <v>29</v>
      </c>
      <c r="F71" s="6" t="s">
        <v>130</v>
      </c>
      <c r="G71" s="10">
        <v>0</v>
      </c>
      <c r="H71" s="10">
        <v>32.85</v>
      </c>
      <c r="I71" s="10">
        <v>9.1368999999999989</v>
      </c>
      <c r="J71" s="10">
        <v>5.6833333333333336</v>
      </c>
      <c r="K71" s="10">
        <v>57.616666666666667</v>
      </c>
      <c r="L71" s="10">
        <v>44.190649999999998</v>
      </c>
      <c r="M71" s="10">
        <v>102.23333333333331</v>
      </c>
    </row>
    <row r="72" spans="1:13" x14ac:dyDescent="0.25">
      <c r="A72" s="8">
        <v>13</v>
      </c>
      <c r="B72" s="8" t="s">
        <v>141</v>
      </c>
      <c r="C72" s="8" t="s">
        <v>301</v>
      </c>
      <c r="D72" s="8" t="s">
        <v>28</v>
      </c>
      <c r="E72" s="8" t="s">
        <v>29</v>
      </c>
      <c r="F72" s="8" t="s">
        <v>130</v>
      </c>
      <c r="G72" s="11">
        <v>0</v>
      </c>
      <c r="H72" s="11">
        <v>36.983333333333327</v>
      </c>
      <c r="I72" s="11">
        <v>4.5</v>
      </c>
      <c r="J72" s="11">
        <v>1.6166666666666669</v>
      </c>
      <c r="K72" s="11">
        <v>42.43333333333333</v>
      </c>
      <c r="L72" s="11">
        <v>34.950000000000003</v>
      </c>
      <c r="M72" s="11">
        <v>121.1324333333333</v>
      </c>
    </row>
    <row r="73" spans="1:13" x14ac:dyDescent="0.25">
      <c r="A73" s="6">
        <v>14</v>
      </c>
      <c r="B73" s="6" t="s">
        <v>144</v>
      </c>
      <c r="C73" s="6" t="s">
        <v>300</v>
      </c>
      <c r="D73" s="6" t="s">
        <v>28</v>
      </c>
      <c r="E73" s="6" t="s">
        <v>29</v>
      </c>
      <c r="F73" s="6" t="s">
        <v>130</v>
      </c>
      <c r="G73" s="10">
        <v>0</v>
      </c>
      <c r="H73" s="10">
        <v>35.5</v>
      </c>
      <c r="I73" s="10">
        <v>6.9833333333333334</v>
      </c>
      <c r="J73" s="10">
        <v>4.0999999999999996</v>
      </c>
      <c r="K73" s="10">
        <v>44.283333333333331</v>
      </c>
      <c r="L73" s="10">
        <v>31.216666666666669</v>
      </c>
      <c r="M73" s="10">
        <v>83.670550000000006</v>
      </c>
    </row>
    <row r="74" spans="1:13" x14ac:dyDescent="0.25">
      <c r="A74" s="8">
        <v>14</v>
      </c>
      <c r="B74" s="8" t="s">
        <v>144</v>
      </c>
      <c r="C74" s="8" t="s">
        <v>301</v>
      </c>
      <c r="D74" s="8" t="s">
        <v>28</v>
      </c>
      <c r="E74" s="8" t="s">
        <v>29</v>
      </c>
      <c r="F74" s="8" t="s">
        <v>130</v>
      </c>
      <c r="G74" s="11">
        <v>0</v>
      </c>
      <c r="H74" s="11">
        <v>21.383333333333329</v>
      </c>
      <c r="I74" s="11">
        <v>1</v>
      </c>
      <c r="J74" s="11">
        <v>0</v>
      </c>
      <c r="K74" s="11">
        <v>39.18333333333333</v>
      </c>
      <c r="L74" s="11">
        <v>30.466666666666669</v>
      </c>
      <c r="M74" s="11">
        <v>102.92506666666669</v>
      </c>
    </row>
    <row r="75" spans="1:13" x14ac:dyDescent="0.25">
      <c r="A75" s="6">
        <v>15</v>
      </c>
      <c r="B75" s="6" t="s">
        <v>150</v>
      </c>
      <c r="C75" s="6" t="s">
        <v>300</v>
      </c>
      <c r="D75" s="6" t="s">
        <v>28</v>
      </c>
      <c r="E75" s="6" t="s">
        <v>29</v>
      </c>
      <c r="F75" s="6" t="s">
        <v>130</v>
      </c>
      <c r="G75" s="10">
        <v>0</v>
      </c>
      <c r="H75" s="10">
        <v>34.497033333333327</v>
      </c>
      <c r="I75" s="10">
        <v>3.6833333333333331</v>
      </c>
      <c r="J75" s="10">
        <v>5.2666666666666666</v>
      </c>
      <c r="K75" s="10">
        <v>54.2</v>
      </c>
      <c r="L75" s="10">
        <v>34.928283333333333</v>
      </c>
      <c r="M75" s="10">
        <v>90.466666666666669</v>
      </c>
    </row>
    <row r="76" spans="1:13" x14ac:dyDescent="0.25">
      <c r="A76" s="8">
        <v>15</v>
      </c>
      <c r="B76" s="8" t="s">
        <v>150</v>
      </c>
      <c r="C76" s="8" t="s">
        <v>301</v>
      </c>
      <c r="D76" s="8" t="s">
        <v>28</v>
      </c>
      <c r="E76" s="8" t="s">
        <v>29</v>
      </c>
      <c r="F76" s="8" t="s">
        <v>130</v>
      </c>
      <c r="G76" s="11">
        <v>0</v>
      </c>
      <c r="H76" s="11">
        <v>36.983333333333327</v>
      </c>
      <c r="I76" s="11">
        <v>4.5</v>
      </c>
      <c r="J76" s="11">
        <v>1.6166666666666669</v>
      </c>
      <c r="K76" s="11">
        <v>42.43333333333333</v>
      </c>
      <c r="L76" s="11">
        <v>34.950000000000003</v>
      </c>
      <c r="M76" s="11">
        <v>121.1324333333333</v>
      </c>
    </row>
    <row r="77" spans="1:13" x14ac:dyDescent="0.25">
      <c r="A77" s="6">
        <v>16</v>
      </c>
      <c r="B77" s="6" t="s">
        <v>153</v>
      </c>
      <c r="C77" s="6" t="s">
        <v>300</v>
      </c>
      <c r="D77" s="6" t="s">
        <v>28</v>
      </c>
      <c r="E77" s="6" t="s">
        <v>29</v>
      </c>
      <c r="F77" s="6" t="s">
        <v>130</v>
      </c>
      <c r="G77" s="10">
        <v>0</v>
      </c>
      <c r="H77" s="10">
        <v>43.485533333333343</v>
      </c>
      <c r="I77" s="10">
        <v>9.5500000000000007</v>
      </c>
      <c r="J77" s="10">
        <v>6.7833333333333332</v>
      </c>
      <c r="K77" s="10">
        <v>55.4</v>
      </c>
      <c r="L77" s="10">
        <v>40.216666666666669</v>
      </c>
      <c r="M77" s="10">
        <v>120.6666666666667</v>
      </c>
    </row>
    <row r="78" spans="1:13" x14ac:dyDescent="0.25">
      <c r="A78" s="8">
        <v>16</v>
      </c>
      <c r="B78" s="8" t="s">
        <v>153</v>
      </c>
      <c r="C78" s="8" t="s">
        <v>301</v>
      </c>
      <c r="D78" s="8" t="s">
        <v>28</v>
      </c>
      <c r="E78" s="8" t="s">
        <v>29</v>
      </c>
      <c r="F78" s="8" t="s">
        <v>130</v>
      </c>
      <c r="G78" s="11">
        <v>0</v>
      </c>
      <c r="H78" s="11">
        <v>26.333333333333329</v>
      </c>
      <c r="I78" s="11">
        <v>10.016666666666669</v>
      </c>
      <c r="J78" s="11">
        <v>14.483333333333331</v>
      </c>
      <c r="K78" s="11">
        <v>52.6</v>
      </c>
      <c r="L78" s="11">
        <v>41.9</v>
      </c>
      <c r="M78" s="11">
        <v>146.02638333333331</v>
      </c>
    </row>
    <row r="79" spans="1:13" x14ac:dyDescent="0.25">
      <c r="A79" s="6">
        <v>17</v>
      </c>
      <c r="B79" s="6" t="s">
        <v>158</v>
      </c>
      <c r="C79" s="6" t="s">
        <v>300</v>
      </c>
      <c r="D79" s="6" t="s">
        <v>28</v>
      </c>
      <c r="E79" s="6" t="s">
        <v>29</v>
      </c>
      <c r="F79" s="6" t="s">
        <v>130</v>
      </c>
      <c r="G79" s="10">
        <v>0</v>
      </c>
      <c r="H79" s="10">
        <v>35.1</v>
      </c>
      <c r="I79" s="10">
        <v>12.7</v>
      </c>
      <c r="J79" s="10">
        <v>3.9333333333333331</v>
      </c>
      <c r="K79" s="10">
        <v>68.016666666666666</v>
      </c>
      <c r="L79" s="10">
        <v>51.253116666666664</v>
      </c>
      <c r="M79" s="10">
        <v>71.584483333333338</v>
      </c>
    </row>
    <row r="80" spans="1:13" x14ac:dyDescent="0.25">
      <c r="A80" s="8">
        <v>17</v>
      </c>
      <c r="B80" s="8" t="s">
        <v>158</v>
      </c>
      <c r="C80" s="8" t="s">
        <v>301</v>
      </c>
      <c r="D80" s="8" t="s">
        <v>28</v>
      </c>
      <c r="E80" s="8" t="s">
        <v>29</v>
      </c>
      <c r="F80" s="8" t="s">
        <v>130</v>
      </c>
      <c r="G80" s="11">
        <v>0</v>
      </c>
      <c r="H80" s="11">
        <v>36.983333333333327</v>
      </c>
      <c r="I80" s="11">
        <v>4.5</v>
      </c>
      <c r="J80" s="11">
        <v>1.6166666666666669</v>
      </c>
      <c r="K80" s="11">
        <v>42.43333333333333</v>
      </c>
      <c r="L80" s="11">
        <v>34.950000000000003</v>
      </c>
      <c r="M80" s="11">
        <v>122.04485</v>
      </c>
    </row>
    <row r="81" spans="1:13" x14ac:dyDescent="0.25">
      <c r="A81" s="6">
        <v>19</v>
      </c>
      <c r="B81" s="6" t="s">
        <v>165</v>
      </c>
      <c r="C81" s="6" t="s">
        <v>300</v>
      </c>
      <c r="D81" s="6" t="s">
        <v>28</v>
      </c>
      <c r="E81" s="6" t="s">
        <v>29</v>
      </c>
      <c r="F81" s="6" t="s">
        <v>96</v>
      </c>
      <c r="G81" s="10">
        <v>0</v>
      </c>
      <c r="H81" s="10">
        <v>30.18333333333333</v>
      </c>
      <c r="I81" s="10">
        <v>13.90325</v>
      </c>
      <c r="J81" s="10">
        <v>4.2333333333333334</v>
      </c>
      <c r="K81" s="10">
        <v>46.35</v>
      </c>
      <c r="L81" s="10">
        <v>31.983333333333331</v>
      </c>
      <c r="M81" s="10">
        <v>93.283333333333331</v>
      </c>
    </row>
    <row r="82" spans="1:13" x14ac:dyDescent="0.25">
      <c r="A82" s="8">
        <v>19</v>
      </c>
      <c r="B82" s="8" t="s">
        <v>165</v>
      </c>
      <c r="C82" s="8" t="s">
        <v>301</v>
      </c>
      <c r="D82" s="8" t="s">
        <v>28</v>
      </c>
      <c r="E82" s="8" t="s">
        <v>29</v>
      </c>
      <c r="F82" s="8" t="s">
        <v>96</v>
      </c>
      <c r="G82" s="11">
        <v>0</v>
      </c>
      <c r="H82" s="11">
        <v>71.083333333333329</v>
      </c>
      <c r="I82" s="11">
        <v>4.05</v>
      </c>
      <c r="J82" s="11">
        <v>11.6</v>
      </c>
      <c r="K82" s="11">
        <v>38.68333333333333</v>
      </c>
      <c r="L82" s="11">
        <v>26.81666666666667</v>
      </c>
      <c r="M82" s="11">
        <v>116.98333333333331</v>
      </c>
    </row>
    <row r="83" spans="1:13" x14ac:dyDescent="0.25">
      <c r="A83" s="6">
        <v>20</v>
      </c>
      <c r="B83" s="6" t="s">
        <v>168</v>
      </c>
      <c r="C83" s="6" t="s">
        <v>300</v>
      </c>
      <c r="D83" s="6" t="s">
        <v>28</v>
      </c>
      <c r="E83" s="6" t="s">
        <v>29</v>
      </c>
      <c r="F83" s="6" t="s">
        <v>96</v>
      </c>
      <c r="G83" s="10">
        <v>0</v>
      </c>
      <c r="H83" s="10">
        <v>8.9333333333333336</v>
      </c>
      <c r="I83" s="10">
        <v>4.7779333333333334</v>
      </c>
      <c r="J83" s="10">
        <v>0</v>
      </c>
      <c r="K83" s="10">
        <v>45.070950000000003</v>
      </c>
      <c r="L83" s="10">
        <v>34.966666666666669</v>
      </c>
      <c r="M83" s="10">
        <v>92.36666666666666</v>
      </c>
    </row>
    <row r="84" spans="1:13" x14ac:dyDescent="0.25">
      <c r="A84" s="8">
        <v>20</v>
      </c>
      <c r="B84" s="8" t="s">
        <v>168</v>
      </c>
      <c r="C84" s="8" t="s">
        <v>301</v>
      </c>
      <c r="D84" s="8" t="s">
        <v>28</v>
      </c>
      <c r="E84" s="8" t="s">
        <v>29</v>
      </c>
      <c r="F84" s="8" t="s">
        <v>96</v>
      </c>
      <c r="G84" s="11">
        <v>0</v>
      </c>
      <c r="H84" s="11">
        <v>31.8</v>
      </c>
      <c r="I84" s="11">
        <v>0</v>
      </c>
      <c r="J84" s="11">
        <v>1.5</v>
      </c>
      <c r="K84" s="11">
        <v>30.466666666666669</v>
      </c>
      <c r="L84" s="11">
        <v>23</v>
      </c>
      <c r="M84" s="11">
        <v>134.3833333333333</v>
      </c>
    </row>
    <row r="85" spans="1:13" x14ac:dyDescent="0.25">
      <c r="A85" s="6">
        <v>21</v>
      </c>
      <c r="B85" s="6" t="s">
        <v>171</v>
      </c>
      <c r="C85" s="6" t="s">
        <v>300</v>
      </c>
      <c r="D85" s="6" t="s">
        <v>28</v>
      </c>
      <c r="E85" s="6" t="s">
        <v>29</v>
      </c>
      <c r="F85" s="6" t="s">
        <v>96</v>
      </c>
      <c r="G85" s="10">
        <v>0</v>
      </c>
      <c r="H85" s="10">
        <v>30.18333333333333</v>
      </c>
      <c r="I85" s="10">
        <v>15.93333333333333</v>
      </c>
      <c r="J85" s="10">
        <v>2.1</v>
      </c>
      <c r="K85" s="10">
        <v>50.65</v>
      </c>
      <c r="L85" s="10">
        <v>37.059549999999987</v>
      </c>
      <c r="M85" s="10">
        <v>99.805283333333335</v>
      </c>
    </row>
    <row r="86" spans="1:13" x14ac:dyDescent="0.25">
      <c r="A86" s="8">
        <v>21</v>
      </c>
      <c r="B86" s="8" t="s">
        <v>171</v>
      </c>
      <c r="C86" s="8" t="s">
        <v>301</v>
      </c>
      <c r="D86" s="8" t="s">
        <v>28</v>
      </c>
      <c r="E86" s="8" t="s">
        <v>29</v>
      </c>
      <c r="F86" s="8" t="s">
        <v>96</v>
      </c>
      <c r="G86" s="11">
        <v>0</v>
      </c>
      <c r="H86" s="11">
        <v>48.18333333333333</v>
      </c>
      <c r="I86" s="11">
        <v>17.666666666666671</v>
      </c>
      <c r="J86" s="11">
        <v>9.9</v>
      </c>
      <c r="K86" s="11">
        <v>51.033333333333331</v>
      </c>
      <c r="L86" s="11">
        <v>37.133333333333333</v>
      </c>
      <c r="M86" s="11">
        <v>121.65</v>
      </c>
    </row>
    <row r="87" spans="1:13" x14ac:dyDescent="0.25">
      <c r="A87" s="6">
        <v>22</v>
      </c>
      <c r="B87" s="6" t="s">
        <v>173</v>
      </c>
      <c r="C87" s="6" t="s">
        <v>300</v>
      </c>
      <c r="D87" s="6" t="s">
        <v>28</v>
      </c>
      <c r="E87" s="6" t="s">
        <v>29</v>
      </c>
      <c r="F87" s="6" t="s">
        <v>96</v>
      </c>
      <c r="G87" s="10">
        <v>0</v>
      </c>
      <c r="H87" s="10">
        <v>30.466666666666669</v>
      </c>
      <c r="I87" s="10">
        <v>18.984083333333331</v>
      </c>
      <c r="J87" s="10">
        <v>2.2999999999999998</v>
      </c>
      <c r="K87" s="10">
        <v>58.605016666666657</v>
      </c>
      <c r="L87" s="10">
        <v>41.15</v>
      </c>
      <c r="M87" s="10">
        <v>69.61666666666666</v>
      </c>
    </row>
    <row r="88" spans="1:13" x14ac:dyDescent="0.25">
      <c r="A88" s="8">
        <v>22</v>
      </c>
      <c r="B88" s="8" t="s">
        <v>173</v>
      </c>
      <c r="C88" s="8" t="s">
        <v>301</v>
      </c>
      <c r="D88" s="8" t="s">
        <v>28</v>
      </c>
      <c r="E88" s="8" t="s">
        <v>29</v>
      </c>
      <c r="F88" s="8" t="s">
        <v>96</v>
      </c>
      <c r="G88" s="11">
        <v>0</v>
      </c>
      <c r="H88" s="11">
        <v>31.8</v>
      </c>
      <c r="I88" s="11">
        <v>0</v>
      </c>
      <c r="J88" s="11">
        <v>1.5</v>
      </c>
      <c r="K88" s="11">
        <v>30.466666666666669</v>
      </c>
      <c r="L88" s="11">
        <v>23</v>
      </c>
      <c r="M88" s="11">
        <v>134.3833333333333</v>
      </c>
    </row>
    <row r="89" spans="1:13" x14ac:dyDescent="0.25">
      <c r="A89" s="6">
        <v>24</v>
      </c>
      <c r="B89" s="6" t="s">
        <v>178</v>
      </c>
      <c r="C89" s="6" t="s">
        <v>300</v>
      </c>
      <c r="D89" s="6" t="s">
        <v>28</v>
      </c>
      <c r="E89" s="6" t="s">
        <v>29</v>
      </c>
      <c r="F89" s="6" t="s">
        <v>130</v>
      </c>
      <c r="G89" s="10">
        <v>0</v>
      </c>
      <c r="H89" s="10">
        <v>26.583333333333329</v>
      </c>
      <c r="I89" s="10">
        <v>1.261883333333333</v>
      </c>
      <c r="J89" s="10">
        <v>5.35</v>
      </c>
      <c r="K89" s="10">
        <v>50.083333333333343</v>
      </c>
      <c r="L89" s="10">
        <v>38.023983333333327</v>
      </c>
      <c r="M89" s="10">
        <v>85.833333333333329</v>
      </c>
    </row>
    <row r="90" spans="1:13" x14ac:dyDescent="0.25">
      <c r="A90" s="8">
        <v>24</v>
      </c>
      <c r="B90" s="8" t="s">
        <v>178</v>
      </c>
      <c r="C90" s="8" t="s">
        <v>301</v>
      </c>
      <c r="D90" s="8" t="s">
        <v>28</v>
      </c>
      <c r="E90" s="8" t="s">
        <v>29</v>
      </c>
      <c r="F90" s="8" t="s">
        <v>130</v>
      </c>
      <c r="G90" s="11">
        <v>0</v>
      </c>
      <c r="H90" s="11">
        <v>21.383333333333329</v>
      </c>
      <c r="I90" s="11">
        <v>1</v>
      </c>
      <c r="J90" s="11">
        <v>0</v>
      </c>
      <c r="K90" s="11">
        <v>39.18333333333333</v>
      </c>
      <c r="L90" s="11">
        <v>30.466666666666669</v>
      </c>
      <c r="M90" s="11">
        <v>102.4992666666667</v>
      </c>
    </row>
    <row r="91" spans="1:13" x14ac:dyDescent="0.25">
      <c r="A91" s="6">
        <v>25</v>
      </c>
      <c r="B91" s="6" t="s">
        <v>181</v>
      </c>
      <c r="C91" s="6" t="s">
        <v>300</v>
      </c>
      <c r="D91" s="6" t="s">
        <v>28</v>
      </c>
      <c r="E91" s="6" t="s">
        <v>29</v>
      </c>
      <c r="F91" s="6" t="s">
        <v>130</v>
      </c>
      <c r="G91" s="10">
        <v>0</v>
      </c>
      <c r="H91" s="10">
        <v>23.847033333333339</v>
      </c>
      <c r="I91" s="10">
        <v>3.6833333333333331</v>
      </c>
      <c r="J91" s="10">
        <v>0.25</v>
      </c>
      <c r="K91" s="10">
        <v>50.55</v>
      </c>
      <c r="L91" s="10">
        <v>32.700000000000003</v>
      </c>
      <c r="M91" s="10">
        <v>78.960683333333321</v>
      </c>
    </row>
    <row r="92" spans="1:13" x14ac:dyDescent="0.25">
      <c r="A92" s="8">
        <v>25</v>
      </c>
      <c r="B92" s="8" t="s">
        <v>181</v>
      </c>
      <c r="C92" s="8" t="s">
        <v>301</v>
      </c>
      <c r="D92" s="8" t="s">
        <v>28</v>
      </c>
      <c r="E92" s="8" t="s">
        <v>29</v>
      </c>
      <c r="F92" s="8" t="s">
        <v>130</v>
      </c>
      <c r="G92" s="11">
        <v>0</v>
      </c>
      <c r="H92" s="11">
        <v>23.716666666666669</v>
      </c>
      <c r="I92" s="11">
        <v>4.4333333333333336</v>
      </c>
      <c r="J92" s="11">
        <v>9.5500000000000007</v>
      </c>
      <c r="K92" s="11">
        <v>50.65</v>
      </c>
      <c r="L92" s="11">
        <v>34.233333333333327</v>
      </c>
      <c r="M92" s="11">
        <v>109.3</v>
      </c>
    </row>
    <row r="93" spans="1:13" x14ac:dyDescent="0.25">
      <c r="A93" s="6">
        <v>26</v>
      </c>
      <c r="B93" s="6" t="s">
        <v>183</v>
      </c>
      <c r="C93" s="6" t="s">
        <v>300</v>
      </c>
      <c r="D93" s="6" t="s">
        <v>28</v>
      </c>
      <c r="E93" s="6" t="s">
        <v>29</v>
      </c>
      <c r="F93" s="6" t="s">
        <v>130</v>
      </c>
      <c r="G93" s="10">
        <v>0</v>
      </c>
      <c r="H93" s="10">
        <v>32.85</v>
      </c>
      <c r="I93" s="10">
        <v>9.8868999999999989</v>
      </c>
      <c r="J93" s="10">
        <v>7.9333333333333336</v>
      </c>
      <c r="K93" s="10">
        <v>61.06666666666667</v>
      </c>
      <c r="L93" s="10">
        <v>46.8</v>
      </c>
      <c r="M93" s="10">
        <v>122.55</v>
      </c>
    </row>
    <row r="94" spans="1:13" x14ac:dyDescent="0.25">
      <c r="A94" s="8">
        <v>26</v>
      </c>
      <c r="B94" s="8" t="s">
        <v>183</v>
      </c>
      <c r="C94" s="8" t="s">
        <v>301</v>
      </c>
      <c r="D94" s="8" t="s">
        <v>28</v>
      </c>
      <c r="E94" s="8" t="s">
        <v>29</v>
      </c>
      <c r="F94" s="8" t="s">
        <v>130</v>
      </c>
      <c r="G94" s="11">
        <v>0</v>
      </c>
      <c r="H94" s="11">
        <v>26.333333333333329</v>
      </c>
      <c r="I94" s="11">
        <v>10.016666666666669</v>
      </c>
      <c r="J94" s="11">
        <v>14.483333333333331</v>
      </c>
      <c r="K94" s="11">
        <v>52.6</v>
      </c>
      <c r="L94" s="11">
        <v>42.233333333333327</v>
      </c>
      <c r="M94" s="11">
        <v>146.08333333333329</v>
      </c>
    </row>
    <row r="95" spans="1:13" x14ac:dyDescent="0.25">
      <c r="A95" s="6">
        <v>27</v>
      </c>
      <c r="B95" s="6" t="s">
        <v>186</v>
      </c>
      <c r="C95" s="6" t="s">
        <v>300</v>
      </c>
      <c r="D95" s="6" t="s">
        <v>28</v>
      </c>
      <c r="E95" s="6" t="s">
        <v>29</v>
      </c>
      <c r="F95" s="6" t="s">
        <v>130</v>
      </c>
      <c r="G95" s="10">
        <v>0</v>
      </c>
      <c r="H95" s="10">
        <v>31.033333333333331</v>
      </c>
      <c r="I95" s="10">
        <v>10.96666666666667</v>
      </c>
      <c r="J95" s="10">
        <v>2.9333333333333331</v>
      </c>
      <c r="K95" s="10">
        <v>62.68333333333333</v>
      </c>
      <c r="L95" s="10">
        <v>46.940983333333328</v>
      </c>
      <c r="M95" s="10">
        <v>65.351150000000004</v>
      </c>
    </row>
    <row r="96" spans="1:13" x14ac:dyDescent="0.25">
      <c r="A96" s="8">
        <v>27</v>
      </c>
      <c r="B96" s="8" t="s">
        <v>186</v>
      </c>
      <c r="C96" s="8" t="s">
        <v>301</v>
      </c>
      <c r="D96" s="8" t="s">
        <v>28</v>
      </c>
      <c r="E96" s="8" t="s">
        <v>29</v>
      </c>
      <c r="F96" s="8" t="s">
        <v>130</v>
      </c>
      <c r="G96" s="11">
        <v>0</v>
      </c>
      <c r="H96" s="11">
        <v>23.716666666666669</v>
      </c>
      <c r="I96" s="11">
        <v>4.4333333333333336</v>
      </c>
      <c r="J96" s="11">
        <v>9.5500000000000007</v>
      </c>
      <c r="K96" s="11">
        <v>50.65</v>
      </c>
      <c r="L96" s="11">
        <v>34.233333333333327</v>
      </c>
      <c r="M96" s="11">
        <v>109.3</v>
      </c>
    </row>
    <row r="97" spans="1:13" x14ac:dyDescent="0.25">
      <c r="A97" s="6">
        <v>29</v>
      </c>
      <c r="B97" s="6" t="s">
        <v>192</v>
      </c>
      <c r="C97" s="6" t="s">
        <v>300</v>
      </c>
      <c r="D97" s="6" t="s">
        <v>28</v>
      </c>
      <c r="E97" s="6" t="s">
        <v>29</v>
      </c>
      <c r="F97" s="6" t="s">
        <v>96</v>
      </c>
      <c r="G97" s="10">
        <v>0</v>
      </c>
      <c r="H97" s="10">
        <v>12.03333333333333</v>
      </c>
      <c r="I97" s="10">
        <v>4.916666666666667</v>
      </c>
      <c r="J97" s="10">
        <v>0</v>
      </c>
      <c r="K97" s="10">
        <v>47.070950000000003</v>
      </c>
      <c r="L97" s="10">
        <v>35.883333333333333</v>
      </c>
      <c r="M97" s="10">
        <v>102.55</v>
      </c>
    </row>
    <row r="98" spans="1:13" x14ac:dyDescent="0.25">
      <c r="A98" s="8">
        <v>29</v>
      </c>
      <c r="B98" s="8" t="s">
        <v>192</v>
      </c>
      <c r="C98" s="8" t="s">
        <v>301</v>
      </c>
      <c r="D98" s="8" t="s">
        <v>28</v>
      </c>
      <c r="E98" s="8" t="s">
        <v>29</v>
      </c>
      <c r="F98" s="8" t="s">
        <v>96</v>
      </c>
      <c r="G98" s="11">
        <v>0</v>
      </c>
      <c r="H98" s="11">
        <v>48.18333333333333</v>
      </c>
      <c r="I98" s="11">
        <v>13.66666666666667</v>
      </c>
      <c r="J98" s="11">
        <v>8.5500000000000007</v>
      </c>
      <c r="K98" s="11">
        <v>47.504249999999999</v>
      </c>
      <c r="L98" s="11">
        <v>34.783333333333331</v>
      </c>
      <c r="M98" s="11">
        <v>114.05</v>
      </c>
    </row>
    <row r="99" spans="1:13" x14ac:dyDescent="0.25">
      <c r="A99" s="6">
        <v>30</v>
      </c>
      <c r="B99" s="6" t="s">
        <v>194</v>
      </c>
      <c r="C99" s="6" t="s">
        <v>300</v>
      </c>
      <c r="D99" s="6" t="s">
        <v>28</v>
      </c>
      <c r="E99" s="6" t="s">
        <v>29</v>
      </c>
      <c r="F99" s="6" t="s">
        <v>96</v>
      </c>
      <c r="G99" s="10">
        <v>0</v>
      </c>
      <c r="H99" s="10">
        <v>45.166666666666657</v>
      </c>
      <c r="I99" s="10">
        <v>26.670683333333329</v>
      </c>
      <c r="J99" s="10">
        <v>2.8833333333333329</v>
      </c>
      <c r="K99" s="10">
        <v>61.423199999999987</v>
      </c>
      <c r="L99" s="10">
        <v>44.016666666666673</v>
      </c>
      <c r="M99" s="10">
        <v>75.583333333333329</v>
      </c>
    </row>
    <row r="100" spans="1:13" x14ac:dyDescent="0.25">
      <c r="A100" s="8">
        <v>30</v>
      </c>
      <c r="B100" s="8" t="s">
        <v>194</v>
      </c>
      <c r="C100" s="8" t="s">
        <v>301</v>
      </c>
      <c r="D100" s="8" t="s">
        <v>28</v>
      </c>
      <c r="E100" s="8" t="s">
        <v>29</v>
      </c>
      <c r="F100" s="8" t="s">
        <v>96</v>
      </c>
      <c r="G100" s="11">
        <v>0</v>
      </c>
      <c r="H100" s="11">
        <v>71.083333333333329</v>
      </c>
      <c r="I100" s="11">
        <v>4.05</v>
      </c>
      <c r="J100" s="11">
        <v>7.6833333333333336</v>
      </c>
      <c r="K100" s="11">
        <v>38.68333333333333</v>
      </c>
      <c r="L100" s="11">
        <v>26.81666666666667</v>
      </c>
      <c r="M100" s="11">
        <v>117.31331666666669</v>
      </c>
    </row>
    <row r="101" spans="1:13" x14ac:dyDescent="0.25">
      <c r="A101" s="6">
        <v>32</v>
      </c>
      <c r="B101" s="6" t="s">
        <v>201</v>
      </c>
      <c r="C101" s="6" t="s">
        <v>300</v>
      </c>
      <c r="D101" s="6" t="s">
        <v>28</v>
      </c>
      <c r="E101" s="6" t="s">
        <v>35</v>
      </c>
      <c r="F101" s="6" t="s">
        <v>76</v>
      </c>
      <c r="G101" s="10">
        <v>23.4</v>
      </c>
      <c r="H101" s="10">
        <v>37.616666666666667</v>
      </c>
      <c r="I101" s="10">
        <v>0</v>
      </c>
      <c r="J101" s="10">
        <v>0.58333333333333337</v>
      </c>
      <c r="K101" s="10">
        <v>58.389133333333326</v>
      </c>
      <c r="L101" s="10">
        <v>47.783333333333331</v>
      </c>
      <c r="M101" s="10">
        <v>188.35</v>
      </c>
    </row>
    <row r="102" spans="1:13" x14ac:dyDescent="0.25">
      <c r="A102" s="8">
        <v>32</v>
      </c>
      <c r="B102" s="8" t="s">
        <v>201</v>
      </c>
      <c r="C102" s="8" t="s">
        <v>301</v>
      </c>
      <c r="D102" s="8" t="s">
        <v>28</v>
      </c>
      <c r="E102" s="8" t="s">
        <v>35</v>
      </c>
      <c r="F102" s="8" t="s">
        <v>76</v>
      </c>
      <c r="G102" s="11">
        <v>0</v>
      </c>
      <c r="H102" s="11">
        <v>18.100000000000001</v>
      </c>
      <c r="I102" s="11">
        <v>6.6666666666666666E-2</v>
      </c>
      <c r="J102" s="11">
        <v>1.75</v>
      </c>
      <c r="K102" s="11">
        <v>61.95</v>
      </c>
      <c r="L102" s="11">
        <v>44.95</v>
      </c>
      <c r="M102" s="11">
        <v>206.6166666666667</v>
      </c>
    </row>
    <row r="103" spans="1:13" x14ac:dyDescent="0.25">
      <c r="A103" s="6">
        <v>33</v>
      </c>
      <c r="B103" s="6" t="s">
        <v>205</v>
      </c>
      <c r="C103" s="6" t="s">
        <v>300</v>
      </c>
      <c r="D103" s="6" t="s">
        <v>28</v>
      </c>
      <c r="E103" s="6" t="s">
        <v>35</v>
      </c>
      <c r="F103" s="6" t="s">
        <v>76</v>
      </c>
      <c r="G103" s="10">
        <v>23.4</v>
      </c>
      <c r="H103" s="10">
        <v>37.616666666666667</v>
      </c>
      <c r="I103" s="10">
        <v>0</v>
      </c>
      <c r="J103" s="10">
        <v>0.58333333333333337</v>
      </c>
      <c r="K103" s="10">
        <v>56.670316666666658</v>
      </c>
      <c r="L103" s="10">
        <v>46.800916666666673</v>
      </c>
      <c r="M103" s="10">
        <v>184.98333333333329</v>
      </c>
    </row>
    <row r="104" spans="1:13" x14ac:dyDescent="0.25">
      <c r="A104" s="8">
        <v>33</v>
      </c>
      <c r="B104" s="8" t="s">
        <v>205</v>
      </c>
      <c r="C104" s="8" t="s">
        <v>301</v>
      </c>
      <c r="D104" s="8" t="s">
        <v>28</v>
      </c>
      <c r="E104" s="8" t="s">
        <v>35</v>
      </c>
      <c r="F104" s="8" t="s">
        <v>76</v>
      </c>
      <c r="G104" s="11">
        <v>0</v>
      </c>
      <c r="H104" s="11">
        <v>16.43333333333333</v>
      </c>
      <c r="I104" s="11">
        <v>8.7333333333333325</v>
      </c>
      <c r="J104" s="11">
        <v>5.083333333333333</v>
      </c>
      <c r="K104" s="11">
        <v>63.81666666666667</v>
      </c>
      <c r="L104" s="11">
        <v>46.866666666666667</v>
      </c>
      <c r="M104" s="11">
        <v>176.3828666666667</v>
      </c>
    </row>
    <row r="105" spans="1:13" x14ac:dyDescent="0.25">
      <c r="A105" s="6">
        <v>34</v>
      </c>
      <c r="B105" s="6" t="s">
        <v>210</v>
      </c>
      <c r="C105" s="6" t="s">
        <v>300</v>
      </c>
      <c r="D105" s="6" t="s">
        <v>28</v>
      </c>
      <c r="E105" s="6" t="s">
        <v>29</v>
      </c>
      <c r="F105" s="6" t="s">
        <v>130</v>
      </c>
      <c r="G105" s="10">
        <v>0</v>
      </c>
      <c r="H105" s="10">
        <v>34.497033333333327</v>
      </c>
      <c r="I105" s="10">
        <v>3.6833333333333331</v>
      </c>
      <c r="J105" s="10">
        <v>7.35</v>
      </c>
      <c r="K105" s="10">
        <v>57.55</v>
      </c>
      <c r="L105" s="10">
        <v>37.366666666666667</v>
      </c>
      <c r="M105" s="10">
        <v>112.4</v>
      </c>
    </row>
    <row r="106" spans="1:13" x14ac:dyDescent="0.25">
      <c r="A106" s="8">
        <v>34</v>
      </c>
      <c r="B106" s="8" t="s">
        <v>210</v>
      </c>
      <c r="C106" s="8" t="s">
        <v>301</v>
      </c>
      <c r="D106" s="8" t="s">
        <v>28</v>
      </c>
      <c r="E106" s="8" t="s">
        <v>29</v>
      </c>
      <c r="F106" s="8" t="s">
        <v>130</v>
      </c>
      <c r="G106" s="11">
        <v>0</v>
      </c>
      <c r="H106" s="11">
        <v>26.333333333333329</v>
      </c>
      <c r="I106" s="11">
        <v>10.016666666666669</v>
      </c>
      <c r="J106" s="11">
        <v>14.483333333333331</v>
      </c>
      <c r="K106" s="11">
        <v>52.6</v>
      </c>
      <c r="L106" s="11">
        <v>42.233333333333327</v>
      </c>
      <c r="M106" s="11">
        <v>146.08333333333329</v>
      </c>
    </row>
    <row r="107" spans="1:13" x14ac:dyDescent="0.25">
      <c r="A107" s="6">
        <v>35</v>
      </c>
      <c r="B107" s="6" t="s">
        <v>212</v>
      </c>
      <c r="C107" s="6" t="s">
        <v>300</v>
      </c>
      <c r="D107" s="6" t="s">
        <v>28</v>
      </c>
      <c r="E107" s="6" t="s">
        <v>29</v>
      </c>
      <c r="F107" s="6" t="s">
        <v>130</v>
      </c>
      <c r="G107" s="10">
        <v>0</v>
      </c>
      <c r="H107" s="10">
        <v>20.65</v>
      </c>
      <c r="I107" s="10">
        <v>8.668333333333333</v>
      </c>
      <c r="J107" s="10">
        <v>2.9833333333333329</v>
      </c>
      <c r="K107" s="10">
        <v>56.783333333333331</v>
      </c>
      <c r="L107" s="10">
        <v>43.369783333333331</v>
      </c>
      <c r="M107" s="10">
        <v>62.483333333333327</v>
      </c>
    </row>
    <row r="108" spans="1:13" x14ac:dyDescent="0.25">
      <c r="A108" s="8">
        <v>35</v>
      </c>
      <c r="B108" s="8" t="s">
        <v>212</v>
      </c>
      <c r="C108" s="8" t="s">
        <v>301</v>
      </c>
      <c r="D108" s="8" t="s">
        <v>28</v>
      </c>
      <c r="E108" s="8" t="s">
        <v>29</v>
      </c>
      <c r="F108" s="8" t="s">
        <v>130</v>
      </c>
      <c r="G108" s="11">
        <v>0</v>
      </c>
      <c r="H108" s="11">
        <v>21.383333333333329</v>
      </c>
      <c r="I108" s="11">
        <v>1</v>
      </c>
      <c r="J108" s="11">
        <v>0</v>
      </c>
      <c r="K108" s="11">
        <v>39.18333333333333</v>
      </c>
      <c r="L108" s="11">
        <v>30.466666666666669</v>
      </c>
      <c r="M108" s="11">
        <v>102.92506666666669</v>
      </c>
    </row>
    <row r="109" spans="1:13" x14ac:dyDescent="0.25">
      <c r="A109" s="6">
        <v>36</v>
      </c>
      <c r="B109" s="6" t="s">
        <v>214</v>
      </c>
      <c r="C109" s="6" t="s">
        <v>300</v>
      </c>
      <c r="D109" s="6" t="s">
        <v>28</v>
      </c>
      <c r="E109" s="6" t="s">
        <v>35</v>
      </c>
      <c r="F109" s="6" t="s">
        <v>88</v>
      </c>
      <c r="G109" s="10">
        <v>40.299999999999997</v>
      </c>
      <c r="H109" s="10">
        <v>46.846666666666671</v>
      </c>
      <c r="I109" s="10">
        <v>23.25</v>
      </c>
      <c r="J109" s="10">
        <v>14.68333333333333</v>
      </c>
      <c r="K109" s="10">
        <v>52.483333333333327</v>
      </c>
      <c r="L109" s="10">
        <v>45.116666666666667</v>
      </c>
      <c r="M109" s="10">
        <v>254.94114999999999</v>
      </c>
    </row>
    <row r="110" spans="1:13" x14ac:dyDescent="0.25">
      <c r="A110" s="8">
        <v>36</v>
      </c>
      <c r="B110" s="8" t="s">
        <v>214</v>
      </c>
      <c r="C110" s="8" t="s">
        <v>301</v>
      </c>
      <c r="D110" s="8" t="s">
        <v>28</v>
      </c>
      <c r="E110" s="8" t="s">
        <v>35</v>
      </c>
      <c r="F110" s="8" t="s">
        <v>88</v>
      </c>
      <c r="G110" s="11">
        <v>0</v>
      </c>
      <c r="H110" s="11">
        <v>35.983333333333327</v>
      </c>
      <c r="I110" s="11">
        <v>0.35</v>
      </c>
      <c r="J110" s="11">
        <v>4.166666666666667</v>
      </c>
      <c r="K110" s="11">
        <v>65.36666666666666</v>
      </c>
      <c r="L110" s="11">
        <v>52.466666666666669</v>
      </c>
      <c r="M110" s="11">
        <v>209.75</v>
      </c>
    </row>
    <row r="111" spans="1:13" x14ac:dyDescent="0.25">
      <c r="A111" s="6">
        <v>39</v>
      </c>
      <c r="B111" s="6" t="s">
        <v>229</v>
      </c>
      <c r="C111" s="6" t="s">
        <v>300</v>
      </c>
      <c r="D111" s="6" t="s">
        <v>28</v>
      </c>
      <c r="E111" s="6" t="s">
        <v>31</v>
      </c>
      <c r="F111" s="6" t="s">
        <v>31</v>
      </c>
      <c r="G111" s="10">
        <v>50.366666666666667</v>
      </c>
      <c r="H111" s="10">
        <v>8.3666666666666671</v>
      </c>
      <c r="I111" s="10">
        <v>17.350000000000001</v>
      </c>
      <c r="J111" s="10">
        <v>4.583333333333333</v>
      </c>
      <c r="K111" s="10">
        <v>74.783333333333331</v>
      </c>
      <c r="L111" s="10">
        <v>56.437600000000003</v>
      </c>
      <c r="M111" s="10">
        <v>180.48333333333329</v>
      </c>
    </row>
    <row r="112" spans="1:13" x14ac:dyDescent="0.25">
      <c r="A112" s="8">
        <v>39</v>
      </c>
      <c r="B112" s="8" t="s">
        <v>229</v>
      </c>
      <c r="C112" s="8" t="s">
        <v>301</v>
      </c>
      <c r="D112" s="8" t="s">
        <v>28</v>
      </c>
      <c r="E112" s="8" t="s">
        <v>31</v>
      </c>
      <c r="F112" s="8" t="s">
        <v>31</v>
      </c>
      <c r="G112" s="11">
        <v>0</v>
      </c>
      <c r="H112" s="11">
        <v>62.766666666666673</v>
      </c>
      <c r="I112" s="11">
        <v>7.8833333333333337</v>
      </c>
      <c r="J112" s="11">
        <v>2.9833333333333329</v>
      </c>
      <c r="K112" s="11">
        <v>67.358066666666659</v>
      </c>
      <c r="L112" s="11">
        <v>47.916666666666657</v>
      </c>
      <c r="M112" s="11">
        <v>222.97454999999999</v>
      </c>
    </row>
    <row r="113" spans="1:13" x14ac:dyDescent="0.25">
      <c r="A113" s="6">
        <v>40</v>
      </c>
      <c r="B113" s="6" t="s">
        <v>234</v>
      </c>
      <c r="C113" s="6" t="s">
        <v>300</v>
      </c>
      <c r="D113" s="6" t="s">
        <v>28</v>
      </c>
      <c r="E113" s="6" t="s">
        <v>31</v>
      </c>
      <c r="F113" s="6" t="s">
        <v>31</v>
      </c>
      <c r="G113" s="10">
        <v>50.366666666666667</v>
      </c>
      <c r="H113" s="10">
        <v>8.3666666666666671</v>
      </c>
      <c r="I113" s="10">
        <v>17.350000000000001</v>
      </c>
      <c r="J113" s="10">
        <v>4.75</v>
      </c>
      <c r="K113" s="10">
        <v>75.683333333333337</v>
      </c>
      <c r="L113" s="10">
        <v>57.18333333333333</v>
      </c>
      <c r="M113" s="10">
        <v>181.3</v>
      </c>
    </row>
    <row r="114" spans="1:13" x14ac:dyDescent="0.25">
      <c r="A114" s="8">
        <v>40</v>
      </c>
      <c r="B114" s="8" t="s">
        <v>234</v>
      </c>
      <c r="C114" s="8" t="s">
        <v>301</v>
      </c>
      <c r="D114" s="8" t="s">
        <v>28</v>
      </c>
      <c r="E114" s="8" t="s">
        <v>31</v>
      </c>
      <c r="F114" s="8" t="s">
        <v>31</v>
      </c>
      <c r="G114" s="11">
        <v>0</v>
      </c>
      <c r="H114" s="11">
        <v>3.0166666666666671</v>
      </c>
      <c r="I114" s="11">
        <v>4.3</v>
      </c>
      <c r="J114" s="11">
        <v>1.8833333333333331</v>
      </c>
      <c r="K114" s="11">
        <v>49.166666666666657</v>
      </c>
      <c r="L114" s="11">
        <v>35.333333333333343</v>
      </c>
      <c r="M114" s="11">
        <v>225.80481666666671</v>
      </c>
    </row>
    <row r="115" spans="1:13" x14ac:dyDescent="0.25">
      <c r="A115" s="6">
        <v>41</v>
      </c>
      <c r="B115" s="6" t="s">
        <v>238</v>
      </c>
      <c r="C115" s="6" t="s">
        <v>300</v>
      </c>
      <c r="D115" s="6" t="s">
        <v>28</v>
      </c>
      <c r="E115" s="6" t="s">
        <v>31</v>
      </c>
      <c r="F115" s="6" t="s">
        <v>31</v>
      </c>
      <c r="G115" s="10">
        <v>44.68333333333333</v>
      </c>
      <c r="H115" s="10">
        <v>6.6833333333333336</v>
      </c>
      <c r="I115" s="10">
        <v>11.75</v>
      </c>
      <c r="J115" s="10">
        <v>2.0166666666666671</v>
      </c>
      <c r="K115" s="10">
        <v>64.3</v>
      </c>
      <c r="L115" s="10">
        <v>51.866666666666667</v>
      </c>
      <c r="M115" s="10">
        <v>172.54785000000001</v>
      </c>
    </row>
    <row r="116" spans="1:13" x14ac:dyDescent="0.25">
      <c r="A116" s="8">
        <v>41</v>
      </c>
      <c r="B116" s="8" t="s">
        <v>238</v>
      </c>
      <c r="C116" s="8" t="s">
        <v>301</v>
      </c>
      <c r="D116" s="8" t="s">
        <v>28</v>
      </c>
      <c r="E116" s="8" t="s">
        <v>31</v>
      </c>
      <c r="F116" s="8" t="s">
        <v>31</v>
      </c>
      <c r="G116" s="11">
        <v>0</v>
      </c>
      <c r="H116" s="11">
        <v>42.65</v>
      </c>
      <c r="I116" s="11">
        <v>4.45</v>
      </c>
      <c r="J116" s="11">
        <v>12.016666666666669</v>
      </c>
      <c r="K116" s="11">
        <v>56.916666666666657</v>
      </c>
      <c r="L116" s="11">
        <v>49.017066666666658</v>
      </c>
      <c r="M116" s="11">
        <v>207.5</v>
      </c>
    </row>
    <row r="117" spans="1:13" x14ac:dyDescent="0.25">
      <c r="A117" s="6">
        <v>43</v>
      </c>
      <c r="B117" s="6" t="s">
        <v>248</v>
      </c>
      <c r="C117" s="6" t="s">
        <v>300</v>
      </c>
      <c r="D117" s="6" t="s">
        <v>28</v>
      </c>
      <c r="E117" s="6" t="s">
        <v>33</v>
      </c>
      <c r="F117" s="6" t="s">
        <v>33</v>
      </c>
      <c r="G117" s="10">
        <v>63.2</v>
      </c>
      <c r="H117" s="10">
        <v>51.31666666666667</v>
      </c>
      <c r="I117" s="10">
        <v>32.283333333333331</v>
      </c>
      <c r="J117" s="10">
        <v>7.7166666666666668</v>
      </c>
      <c r="K117" s="10">
        <v>69.400000000000006</v>
      </c>
      <c r="L117" s="10">
        <v>57.93333333333333</v>
      </c>
      <c r="M117" s="10">
        <v>164.6</v>
      </c>
    </row>
    <row r="118" spans="1:13" x14ac:dyDescent="0.25">
      <c r="A118" s="8">
        <v>43</v>
      </c>
      <c r="B118" s="8" t="s">
        <v>248</v>
      </c>
      <c r="C118" s="8" t="s">
        <v>301</v>
      </c>
      <c r="D118" s="8" t="s">
        <v>28</v>
      </c>
      <c r="E118" s="8" t="s">
        <v>33</v>
      </c>
      <c r="F118" s="8" t="s">
        <v>33</v>
      </c>
      <c r="G118" s="11">
        <v>0</v>
      </c>
      <c r="H118" s="11">
        <v>35.4</v>
      </c>
      <c r="I118" s="11">
        <v>6.3166666666666664</v>
      </c>
      <c r="J118" s="11">
        <v>10.016666666666669</v>
      </c>
      <c r="K118" s="11">
        <v>63.383333333333333</v>
      </c>
      <c r="L118" s="11">
        <v>44.56666666666667</v>
      </c>
      <c r="M118" s="11">
        <v>181.75905</v>
      </c>
    </row>
    <row r="119" spans="1:13" x14ac:dyDescent="0.25">
      <c r="A119" s="6">
        <v>44</v>
      </c>
      <c r="B119" s="6" t="s">
        <v>254</v>
      </c>
      <c r="C119" s="6" t="s">
        <v>300</v>
      </c>
      <c r="D119" s="6" t="s">
        <v>28</v>
      </c>
      <c r="E119" s="6" t="s">
        <v>33</v>
      </c>
      <c r="F119" s="6" t="s">
        <v>33</v>
      </c>
      <c r="G119" s="10">
        <v>0</v>
      </c>
      <c r="H119" s="10">
        <v>65.983333333333334</v>
      </c>
      <c r="I119" s="10">
        <v>30.533333333333331</v>
      </c>
      <c r="J119" s="10">
        <v>6.3</v>
      </c>
      <c r="K119" s="10">
        <v>75.783333333333331</v>
      </c>
      <c r="L119" s="10">
        <v>59.6</v>
      </c>
      <c r="M119" s="10">
        <v>170.42676666666671</v>
      </c>
    </row>
    <row r="120" spans="1:13" x14ac:dyDescent="0.25">
      <c r="A120" s="8">
        <v>44</v>
      </c>
      <c r="B120" s="8" t="s">
        <v>254</v>
      </c>
      <c r="C120" s="8" t="s">
        <v>301</v>
      </c>
      <c r="D120" s="8" t="s">
        <v>28</v>
      </c>
      <c r="E120" s="8" t="s">
        <v>33</v>
      </c>
      <c r="F120" s="8" t="s">
        <v>33</v>
      </c>
      <c r="G120" s="11">
        <v>0</v>
      </c>
      <c r="H120" s="11">
        <v>16.899999999999999</v>
      </c>
      <c r="I120" s="11">
        <v>2.833333333333333</v>
      </c>
      <c r="J120" s="11">
        <v>4</v>
      </c>
      <c r="K120" s="11">
        <v>46.733333333333327</v>
      </c>
      <c r="L120" s="11">
        <v>34.783333333333331</v>
      </c>
      <c r="M120" s="11">
        <v>220.0155</v>
      </c>
    </row>
    <row r="121" spans="1:13" x14ac:dyDescent="0.25">
      <c r="A121" s="6">
        <v>45</v>
      </c>
      <c r="B121" s="6" t="s">
        <v>259</v>
      </c>
      <c r="C121" s="6" t="s">
        <v>300</v>
      </c>
      <c r="D121" s="6" t="s">
        <v>28</v>
      </c>
      <c r="E121" s="6" t="s">
        <v>33</v>
      </c>
      <c r="F121" s="6" t="s">
        <v>33</v>
      </c>
      <c r="G121" s="10">
        <v>63.2</v>
      </c>
      <c r="H121" s="10">
        <v>51.31666666666667</v>
      </c>
      <c r="I121" s="10">
        <v>32.283333333333331</v>
      </c>
      <c r="J121" s="10">
        <v>7.7166666666666668</v>
      </c>
      <c r="K121" s="10">
        <v>69.400000000000006</v>
      </c>
      <c r="L121" s="10">
        <v>57.93333333333333</v>
      </c>
      <c r="M121" s="10">
        <v>164.6</v>
      </c>
    </row>
    <row r="122" spans="1:13" x14ac:dyDescent="0.25">
      <c r="A122" s="8">
        <v>45</v>
      </c>
      <c r="B122" s="8" t="s">
        <v>259</v>
      </c>
      <c r="C122" s="8" t="s">
        <v>301</v>
      </c>
      <c r="D122" s="8" t="s">
        <v>28</v>
      </c>
      <c r="E122" s="8" t="s">
        <v>33</v>
      </c>
      <c r="F122" s="8" t="s">
        <v>33</v>
      </c>
      <c r="G122" s="11">
        <v>0</v>
      </c>
      <c r="H122" s="11">
        <v>24.31666666666667</v>
      </c>
      <c r="I122" s="11">
        <v>2.666666666666667</v>
      </c>
      <c r="J122" s="11">
        <v>5.6833333333333336</v>
      </c>
      <c r="K122" s="11">
        <v>44.133333333333333</v>
      </c>
      <c r="L122" s="11">
        <v>32.116666666666667</v>
      </c>
      <c r="M122" s="11">
        <v>240.50931666666659</v>
      </c>
    </row>
    <row r="123" spans="1:13" x14ac:dyDescent="0.25">
      <c r="A123" s="6">
        <v>46</v>
      </c>
      <c r="B123" s="6" t="s">
        <v>263</v>
      </c>
      <c r="C123" s="6" t="s">
        <v>300</v>
      </c>
      <c r="D123" s="6" t="s">
        <v>28</v>
      </c>
      <c r="E123" s="6" t="s">
        <v>33</v>
      </c>
      <c r="F123" s="6" t="s">
        <v>33</v>
      </c>
      <c r="G123" s="10">
        <v>34.833333333333343</v>
      </c>
      <c r="H123" s="10">
        <v>37.450000000000003</v>
      </c>
      <c r="I123" s="10">
        <v>18.850000000000001</v>
      </c>
      <c r="J123" s="10">
        <v>8</v>
      </c>
      <c r="K123" s="10">
        <v>64.659216666666666</v>
      </c>
      <c r="L123" s="10">
        <v>54.06666666666667</v>
      </c>
      <c r="M123" s="10">
        <v>176.77581666666671</v>
      </c>
    </row>
    <row r="124" spans="1:13" x14ac:dyDescent="0.25">
      <c r="A124" s="8">
        <v>46</v>
      </c>
      <c r="B124" s="8" t="s">
        <v>263</v>
      </c>
      <c r="C124" s="8" t="s">
        <v>301</v>
      </c>
      <c r="D124" s="8" t="s">
        <v>28</v>
      </c>
      <c r="E124" s="8" t="s">
        <v>33</v>
      </c>
      <c r="F124" s="8" t="s">
        <v>33</v>
      </c>
      <c r="G124" s="11">
        <v>0</v>
      </c>
      <c r="H124" s="11">
        <v>20.583333333333329</v>
      </c>
      <c r="I124" s="11">
        <v>2.833333333333333</v>
      </c>
      <c r="J124" s="11">
        <v>4</v>
      </c>
      <c r="K124" s="11">
        <v>46.733333333333327</v>
      </c>
      <c r="L124" s="11">
        <v>35.116666666666667</v>
      </c>
      <c r="M124" s="11">
        <v>220.48333333333329</v>
      </c>
    </row>
    <row r="125" spans="1:13" x14ac:dyDescent="0.25">
      <c r="A125" s="6">
        <v>47</v>
      </c>
      <c r="B125" s="6" t="s">
        <v>266</v>
      </c>
      <c r="C125" s="6" t="s">
        <v>300</v>
      </c>
      <c r="D125" s="6" t="s">
        <v>28</v>
      </c>
      <c r="E125" s="6" t="s">
        <v>31</v>
      </c>
      <c r="F125" s="6" t="s">
        <v>31</v>
      </c>
      <c r="G125" s="10">
        <v>44.68333333333333</v>
      </c>
      <c r="H125" s="10">
        <v>6.6833333333333336</v>
      </c>
      <c r="I125" s="10">
        <v>11.75</v>
      </c>
      <c r="J125" s="10">
        <v>2.0166666666666671</v>
      </c>
      <c r="K125" s="10">
        <v>64.3</v>
      </c>
      <c r="L125" s="10">
        <v>51.866666666666667</v>
      </c>
      <c r="M125" s="10">
        <v>172.54785000000001</v>
      </c>
    </row>
    <row r="126" spans="1:13" x14ac:dyDescent="0.25">
      <c r="A126" s="8">
        <v>47</v>
      </c>
      <c r="B126" s="8" t="s">
        <v>266</v>
      </c>
      <c r="C126" s="8" t="s">
        <v>301</v>
      </c>
      <c r="D126" s="8" t="s">
        <v>28</v>
      </c>
      <c r="E126" s="8" t="s">
        <v>31</v>
      </c>
      <c r="F126" s="8" t="s">
        <v>31</v>
      </c>
      <c r="G126" s="11">
        <v>0</v>
      </c>
      <c r="H126" s="11">
        <v>62.766666666666673</v>
      </c>
      <c r="I126" s="11">
        <v>8.9</v>
      </c>
      <c r="J126" s="11">
        <v>3.3</v>
      </c>
      <c r="K126" s="11">
        <v>67.36666666666666</v>
      </c>
      <c r="L126" s="11">
        <v>48.233333333333327</v>
      </c>
      <c r="M126" s="11">
        <v>221.9214666666667</v>
      </c>
    </row>
    <row r="127" spans="1:13" x14ac:dyDescent="0.25">
      <c r="A127" s="6">
        <v>49</v>
      </c>
      <c r="B127" s="6" t="s">
        <v>273</v>
      </c>
      <c r="C127" s="6" t="s">
        <v>300</v>
      </c>
      <c r="D127" s="6" t="s">
        <v>28</v>
      </c>
      <c r="E127" s="6" t="s">
        <v>33</v>
      </c>
      <c r="F127" s="6" t="s">
        <v>33</v>
      </c>
      <c r="G127" s="10">
        <v>0</v>
      </c>
      <c r="H127" s="10">
        <v>65.983333333333334</v>
      </c>
      <c r="I127" s="10">
        <v>30.533333333333331</v>
      </c>
      <c r="J127" s="10">
        <v>6.3</v>
      </c>
      <c r="K127" s="10">
        <v>75.514616666666669</v>
      </c>
      <c r="L127" s="10">
        <v>59.383333333333333</v>
      </c>
      <c r="M127" s="10">
        <v>170.0333333333333</v>
      </c>
    </row>
    <row r="128" spans="1:13" x14ac:dyDescent="0.25">
      <c r="A128" s="8">
        <v>49</v>
      </c>
      <c r="B128" s="8" t="s">
        <v>273</v>
      </c>
      <c r="C128" s="8" t="s">
        <v>301</v>
      </c>
      <c r="D128" s="8" t="s">
        <v>28</v>
      </c>
      <c r="E128" s="8" t="s">
        <v>33</v>
      </c>
      <c r="F128" s="8" t="s">
        <v>33</v>
      </c>
      <c r="G128" s="11">
        <v>0</v>
      </c>
      <c r="H128" s="11">
        <v>20.633333333333329</v>
      </c>
      <c r="I128" s="11">
        <v>2.666666666666667</v>
      </c>
      <c r="J128" s="11">
        <v>5.0166666666666666</v>
      </c>
      <c r="K128" s="11">
        <v>43.1</v>
      </c>
      <c r="L128" s="11">
        <v>32.116666666666667</v>
      </c>
      <c r="M128" s="11">
        <v>242.5133166666667</v>
      </c>
    </row>
    <row r="129" spans="1:13" x14ac:dyDescent="0.25">
      <c r="A129" s="6">
        <v>50</v>
      </c>
      <c r="B129" s="6" t="s">
        <v>277</v>
      </c>
      <c r="C129" s="6" t="s">
        <v>300</v>
      </c>
      <c r="D129" s="6" t="s">
        <v>28</v>
      </c>
      <c r="E129" s="6" t="s">
        <v>33</v>
      </c>
      <c r="F129" s="6" t="s">
        <v>33</v>
      </c>
      <c r="G129" s="10">
        <v>34.833333333333343</v>
      </c>
      <c r="H129" s="10">
        <v>58.166666666666657</v>
      </c>
      <c r="I129" s="10">
        <v>21.679983333333329</v>
      </c>
      <c r="J129" s="10">
        <v>8.0833333333333339</v>
      </c>
      <c r="K129" s="10">
        <v>65.966666666666669</v>
      </c>
      <c r="L129" s="10">
        <v>54.8</v>
      </c>
      <c r="M129" s="10">
        <v>177.1166666666667</v>
      </c>
    </row>
    <row r="130" spans="1:13" x14ac:dyDescent="0.25">
      <c r="A130" s="8">
        <v>50</v>
      </c>
      <c r="B130" s="8" t="s">
        <v>277</v>
      </c>
      <c r="C130" s="8" t="s">
        <v>301</v>
      </c>
      <c r="D130" s="8" t="s">
        <v>28</v>
      </c>
      <c r="E130" s="8" t="s">
        <v>33</v>
      </c>
      <c r="F130" s="8" t="s">
        <v>33</v>
      </c>
      <c r="G130" s="11">
        <v>0</v>
      </c>
      <c r="H130" s="11">
        <v>35.4</v>
      </c>
      <c r="I130" s="11">
        <v>6.3166666666666664</v>
      </c>
      <c r="J130" s="11">
        <v>10.68333333333333</v>
      </c>
      <c r="K130" s="11">
        <v>66.099999999999994</v>
      </c>
      <c r="L130" s="11">
        <v>47.533333333333331</v>
      </c>
      <c r="M130" s="11">
        <v>185.7166666666667</v>
      </c>
    </row>
    <row r="133" spans="1:13" ht="27.95" customHeight="1" x14ac:dyDescent="0.25">
      <c r="A133" s="55" t="s">
        <v>330</v>
      </c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</row>
    <row r="134" spans="1:13" ht="3.9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6" spans="1:13" ht="30" x14ac:dyDescent="0.25">
      <c r="A136" s="9" t="s">
        <v>59</v>
      </c>
      <c r="B136" s="9" t="s">
        <v>60</v>
      </c>
      <c r="C136" s="9" t="s">
        <v>292</v>
      </c>
      <c r="D136" s="9" t="s">
        <v>24</v>
      </c>
      <c r="E136" s="9" t="s">
        <v>61</v>
      </c>
      <c r="F136" s="9" t="s">
        <v>62</v>
      </c>
      <c r="G136" s="9" t="s">
        <v>293</v>
      </c>
      <c r="H136" s="9" t="s">
        <v>294</v>
      </c>
      <c r="I136" s="9" t="s">
        <v>295</v>
      </c>
      <c r="J136" s="9" t="s">
        <v>296</v>
      </c>
      <c r="K136" s="9" t="s">
        <v>297</v>
      </c>
      <c r="L136" s="9" t="s">
        <v>298</v>
      </c>
      <c r="M136" s="9" t="s">
        <v>299</v>
      </c>
    </row>
    <row r="137" spans="1:13" x14ac:dyDescent="0.25">
      <c r="A137" s="6">
        <v>1</v>
      </c>
      <c r="B137" s="6" t="s">
        <v>75</v>
      </c>
      <c r="C137" s="6" t="s">
        <v>300</v>
      </c>
      <c r="D137" s="6" t="s">
        <v>28</v>
      </c>
      <c r="E137" s="6" t="s">
        <v>35</v>
      </c>
      <c r="F137" s="6" t="s">
        <v>76</v>
      </c>
      <c r="G137" s="10">
        <v>0.31331323290921648</v>
      </c>
      <c r="H137" s="10">
        <v>4.1652318794050638E-2</v>
      </c>
      <c r="I137" s="10">
        <v>0.155968406398383</v>
      </c>
      <c r="J137" s="10">
        <v>0.44927380259769911</v>
      </c>
      <c r="K137" s="10">
        <v>60.308696506028731</v>
      </c>
      <c r="L137" s="10">
        <v>44.619089325926979</v>
      </c>
      <c r="M137" s="10">
        <v>199.27859331962469</v>
      </c>
    </row>
    <row r="138" spans="1:13" x14ac:dyDescent="0.25">
      <c r="A138" s="8">
        <v>1</v>
      </c>
      <c r="B138" s="8" t="s">
        <v>75</v>
      </c>
      <c r="C138" s="8" t="s">
        <v>301</v>
      </c>
      <c r="D138" s="8" t="s">
        <v>28</v>
      </c>
      <c r="E138" s="8" t="s">
        <v>35</v>
      </c>
      <c r="F138" s="8" t="s">
        <v>76</v>
      </c>
      <c r="G138" s="11">
        <v>0</v>
      </c>
      <c r="H138" s="11">
        <v>0.2136487015115684</v>
      </c>
      <c r="I138" s="11">
        <v>0</v>
      </c>
      <c r="J138" s="11">
        <v>0.30731281945969252</v>
      </c>
      <c r="K138" s="11">
        <v>55.580881691351998</v>
      </c>
      <c r="L138" s="11">
        <v>38.88632527176938</v>
      </c>
      <c r="M138" s="11">
        <v>215.4860733436561</v>
      </c>
    </row>
    <row r="139" spans="1:13" x14ac:dyDescent="0.25">
      <c r="A139" s="6">
        <v>2</v>
      </c>
      <c r="B139" s="6" t="s">
        <v>83</v>
      </c>
      <c r="C139" s="6" t="s">
        <v>300</v>
      </c>
      <c r="D139" s="6" t="s">
        <v>28</v>
      </c>
      <c r="E139" s="6" t="s">
        <v>35</v>
      </c>
      <c r="F139" s="6" t="s">
        <v>76</v>
      </c>
      <c r="G139" s="10">
        <v>0.31331323290921648</v>
      </c>
      <c r="H139" s="10">
        <v>4.1652318794050638E-2</v>
      </c>
      <c r="I139" s="10">
        <v>0.155968406398383</v>
      </c>
      <c r="J139" s="10">
        <v>0.44927380259769911</v>
      </c>
      <c r="K139" s="10">
        <v>60.301496385496783</v>
      </c>
      <c r="L139" s="10">
        <v>44.619089325926979</v>
      </c>
      <c r="M139" s="10">
        <v>199.22648418736321</v>
      </c>
    </row>
    <row r="140" spans="1:13" x14ac:dyDescent="0.25">
      <c r="A140" s="8">
        <v>2</v>
      </c>
      <c r="B140" s="8" t="s">
        <v>83</v>
      </c>
      <c r="C140" s="8" t="s">
        <v>301</v>
      </c>
      <c r="D140" s="8" t="s">
        <v>28</v>
      </c>
      <c r="E140" s="8" t="s">
        <v>35</v>
      </c>
      <c r="F140" s="8" t="s">
        <v>76</v>
      </c>
      <c r="G140" s="11">
        <v>0</v>
      </c>
      <c r="H140" s="11">
        <v>8.3882197240028836E-2</v>
      </c>
      <c r="I140" s="11">
        <v>3.091495950618035E-2</v>
      </c>
      <c r="J140" s="11">
        <v>0.2309310830082773</v>
      </c>
      <c r="K140" s="11">
        <v>57.928893825091471</v>
      </c>
      <c r="L140" s="11">
        <v>43.162925395186832</v>
      </c>
      <c r="M140" s="11">
        <v>203.77852793806281</v>
      </c>
    </row>
    <row r="141" spans="1:13" x14ac:dyDescent="0.25">
      <c r="A141" s="6">
        <v>3</v>
      </c>
      <c r="B141" s="6" t="s">
        <v>87</v>
      </c>
      <c r="C141" s="6" t="s">
        <v>300</v>
      </c>
      <c r="D141" s="6" t="s">
        <v>28</v>
      </c>
      <c r="E141" s="6" t="s">
        <v>35</v>
      </c>
      <c r="F141" s="6" t="s">
        <v>88</v>
      </c>
      <c r="G141" s="10">
        <v>0.32207239596471771</v>
      </c>
      <c r="H141" s="10">
        <v>0.46962669093374088</v>
      </c>
      <c r="I141" s="10">
        <v>0</v>
      </c>
      <c r="J141" s="10">
        <v>0.26467880112010561</v>
      </c>
      <c r="K141" s="10">
        <v>46.828639184274387</v>
      </c>
      <c r="L141" s="10">
        <v>41.953809708617477</v>
      </c>
      <c r="M141" s="10">
        <v>230.50068292981709</v>
      </c>
    </row>
    <row r="142" spans="1:13" x14ac:dyDescent="0.25">
      <c r="A142" s="8">
        <v>3</v>
      </c>
      <c r="B142" s="8" t="s">
        <v>87</v>
      </c>
      <c r="C142" s="8" t="s">
        <v>301</v>
      </c>
      <c r="D142" s="8" t="s">
        <v>28</v>
      </c>
      <c r="E142" s="8" t="s">
        <v>35</v>
      </c>
      <c r="F142" s="8" t="s">
        <v>88</v>
      </c>
      <c r="G142" s="11">
        <v>0</v>
      </c>
      <c r="H142" s="11">
        <v>0.34734042341449439</v>
      </c>
      <c r="I142" s="11">
        <v>0</v>
      </c>
      <c r="J142" s="11">
        <v>0.43740140315438419</v>
      </c>
      <c r="K142" s="11">
        <v>58.410381444501432</v>
      </c>
      <c r="L142" s="11">
        <v>47.464359459883809</v>
      </c>
      <c r="M142" s="11">
        <v>214.02953530309489</v>
      </c>
    </row>
    <row r="143" spans="1:13" x14ac:dyDescent="0.25">
      <c r="A143" s="6">
        <v>5</v>
      </c>
      <c r="B143" s="6" t="s">
        <v>102</v>
      </c>
      <c r="C143" s="6" t="s">
        <v>300</v>
      </c>
      <c r="D143" s="6" t="s">
        <v>28</v>
      </c>
      <c r="E143" s="6" t="s">
        <v>29</v>
      </c>
      <c r="F143" s="6" t="s">
        <v>96</v>
      </c>
      <c r="G143" s="10">
        <v>0</v>
      </c>
      <c r="H143" s="10">
        <v>0.35568686098748031</v>
      </c>
      <c r="I143" s="10">
        <v>0.46935934842854138</v>
      </c>
      <c r="J143" s="10">
        <v>0.35650575379932598</v>
      </c>
      <c r="K143" s="10">
        <v>43.251327961348252</v>
      </c>
      <c r="L143" s="10">
        <v>30.282041524727092</v>
      </c>
      <c r="M143" s="10">
        <v>66.907081684469304</v>
      </c>
    </row>
    <row r="144" spans="1:13" x14ac:dyDescent="0.25">
      <c r="A144" s="8">
        <v>5</v>
      </c>
      <c r="B144" s="8" t="s">
        <v>102</v>
      </c>
      <c r="C144" s="8" t="s">
        <v>301</v>
      </c>
      <c r="D144" s="8" t="s">
        <v>28</v>
      </c>
      <c r="E144" s="8" t="s">
        <v>29</v>
      </c>
      <c r="F144" s="8" t="s">
        <v>96</v>
      </c>
      <c r="G144" s="11">
        <v>0</v>
      </c>
      <c r="H144" s="11">
        <v>0.22156090055420241</v>
      </c>
      <c r="I144" s="11">
        <v>0</v>
      </c>
      <c r="J144" s="11">
        <v>0.11647473715777031</v>
      </c>
      <c r="K144" s="11">
        <v>21.52228685090974</v>
      </c>
      <c r="L144" s="11">
        <v>17.072623143274491</v>
      </c>
      <c r="M144" s="11">
        <v>102.738159054381</v>
      </c>
    </row>
    <row r="145" spans="1:13" x14ac:dyDescent="0.25">
      <c r="A145" s="6">
        <v>6</v>
      </c>
      <c r="B145" s="6" t="s">
        <v>108</v>
      </c>
      <c r="C145" s="6" t="s">
        <v>300</v>
      </c>
      <c r="D145" s="6" t="s">
        <v>28</v>
      </c>
      <c r="E145" s="6" t="s">
        <v>29</v>
      </c>
      <c r="F145" s="6" t="s">
        <v>96</v>
      </c>
      <c r="G145" s="10">
        <v>0</v>
      </c>
      <c r="H145" s="10">
        <v>0.38306581509713777</v>
      </c>
      <c r="I145" s="10">
        <v>2.3361160569771502</v>
      </c>
      <c r="J145" s="10">
        <v>0.20461421027387261</v>
      </c>
      <c r="K145" s="10">
        <v>38.636070215722071</v>
      </c>
      <c r="L145" s="10">
        <v>26.286683002730651</v>
      </c>
      <c r="M145" s="10">
        <v>80.361862644527108</v>
      </c>
    </row>
    <row r="146" spans="1:13" x14ac:dyDescent="0.25">
      <c r="A146" s="8">
        <v>6</v>
      </c>
      <c r="B146" s="8" t="s">
        <v>108</v>
      </c>
      <c r="C146" s="8" t="s">
        <v>301</v>
      </c>
      <c r="D146" s="8" t="s">
        <v>28</v>
      </c>
      <c r="E146" s="8" t="s">
        <v>29</v>
      </c>
      <c r="F146" s="8" t="s">
        <v>96</v>
      </c>
      <c r="G146" s="11">
        <v>0</v>
      </c>
      <c r="H146" s="11">
        <v>0.83987814360898194</v>
      </c>
      <c r="I146" s="11">
        <v>1.7979996304002079</v>
      </c>
      <c r="J146" s="11">
        <v>0.57590785271071809</v>
      </c>
      <c r="K146" s="11">
        <v>16.043682536598411</v>
      </c>
      <c r="L146" s="11">
        <v>16.779596658523619</v>
      </c>
      <c r="M146" s="11">
        <v>112.1131547520701</v>
      </c>
    </row>
    <row r="147" spans="1:13" x14ac:dyDescent="0.25">
      <c r="A147" s="6">
        <v>7</v>
      </c>
      <c r="B147" s="6" t="s">
        <v>111</v>
      </c>
      <c r="C147" s="6" t="s">
        <v>300</v>
      </c>
      <c r="D147" s="6" t="s">
        <v>28</v>
      </c>
      <c r="E147" s="6" t="s">
        <v>29</v>
      </c>
      <c r="F147" s="6" t="s">
        <v>96</v>
      </c>
      <c r="G147" s="10">
        <v>0</v>
      </c>
      <c r="H147" s="10">
        <v>0.4715380269015641</v>
      </c>
      <c r="I147" s="10">
        <v>0.72334267161559207</v>
      </c>
      <c r="J147" s="10">
        <v>0.62657519758941227</v>
      </c>
      <c r="K147" s="10">
        <v>44.372426251753588</v>
      </c>
      <c r="L147" s="10">
        <v>30.69503766819436</v>
      </c>
      <c r="M147" s="10">
        <v>69.221442413661691</v>
      </c>
    </row>
    <row r="148" spans="1:13" x14ac:dyDescent="0.25">
      <c r="A148" s="8">
        <v>7</v>
      </c>
      <c r="B148" s="8" t="s">
        <v>111</v>
      </c>
      <c r="C148" s="8" t="s">
        <v>301</v>
      </c>
      <c r="D148" s="8" t="s">
        <v>28</v>
      </c>
      <c r="E148" s="8" t="s">
        <v>29</v>
      </c>
      <c r="F148" s="8" t="s">
        <v>96</v>
      </c>
      <c r="G148" s="11">
        <v>0</v>
      </c>
      <c r="H148" s="11">
        <v>0.56746055645718996</v>
      </c>
      <c r="I148" s="11">
        <v>0.55256306869115623</v>
      </c>
      <c r="J148" s="11">
        <v>1.005496809016533</v>
      </c>
      <c r="K148" s="11">
        <v>27.609909695058061</v>
      </c>
      <c r="L148" s="11">
        <v>19.892928271907479</v>
      </c>
      <c r="M148" s="11">
        <v>96.565811989808935</v>
      </c>
    </row>
    <row r="149" spans="1:13" x14ac:dyDescent="0.25">
      <c r="A149" s="6">
        <v>8</v>
      </c>
      <c r="B149" s="6" t="s">
        <v>117</v>
      </c>
      <c r="C149" s="6" t="s">
        <v>300</v>
      </c>
      <c r="D149" s="6" t="s">
        <v>28</v>
      </c>
      <c r="E149" s="6" t="s">
        <v>29</v>
      </c>
      <c r="F149" s="6" t="s">
        <v>96</v>
      </c>
      <c r="G149" s="10">
        <v>0</v>
      </c>
      <c r="H149" s="10">
        <v>0.37366038708160421</v>
      </c>
      <c r="I149" s="10">
        <v>0.70152151256216355</v>
      </c>
      <c r="J149" s="10">
        <v>0</v>
      </c>
      <c r="K149" s="10">
        <v>37.607352721049807</v>
      </c>
      <c r="L149" s="10">
        <v>27.61065850344794</v>
      </c>
      <c r="M149" s="10">
        <v>81.51318776562465</v>
      </c>
    </row>
    <row r="150" spans="1:13" x14ac:dyDescent="0.25">
      <c r="A150" s="8">
        <v>8</v>
      </c>
      <c r="B150" s="8" t="s">
        <v>117</v>
      </c>
      <c r="C150" s="8" t="s">
        <v>301</v>
      </c>
      <c r="D150" s="8" t="s">
        <v>28</v>
      </c>
      <c r="E150" s="8" t="s">
        <v>29</v>
      </c>
      <c r="F150" s="8" t="s">
        <v>96</v>
      </c>
      <c r="G150" s="11">
        <v>0</v>
      </c>
      <c r="H150" s="11">
        <v>0.83987814360898194</v>
      </c>
      <c r="I150" s="11">
        <v>1.7979996304002079</v>
      </c>
      <c r="J150" s="11">
        <v>0.46558889600755871</v>
      </c>
      <c r="K150" s="11">
        <v>16.046588129687478</v>
      </c>
      <c r="L150" s="11">
        <v>16.779596658523619</v>
      </c>
      <c r="M150" s="11">
        <v>111.8050567661586</v>
      </c>
    </row>
    <row r="151" spans="1:13" x14ac:dyDescent="0.25">
      <c r="A151" s="6">
        <v>9</v>
      </c>
      <c r="B151" s="6" t="s">
        <v>121</v>
      </c>
      <c r="C151" s="6" t="s">
        <v>300</v>
      </c>
      <c r="D151" s="6" t="s">
        <v>28</v>
      </c>
      <c r="E151" s="6" t="s">
        <v>29</v>
      </c>
      <c r="F151" s="6" t="s">
        <v>96</v>
      </c>
      <c r="G151" s="10">
        <v>0</v>
      </c>
      <c r="H151" s="10">
        <v>0.47498370401507511</v>
      </c>
      <c r="I151" s="10">
        <v>0.57585003194744566</v>
      </c>
      <c r="J151" s="10">
        <v>0.62657519758941227</v>
      </c>
      <c r="K151" s="10">
        <v>45.772824782401209</v>
      </c>
      <c r="L151" s="10">
        <v>32.149418815464323</v>
      </c>
      <c r="M151" s="10">
        <v>73.935191620178145</v>
      </c>
    </row>
    <row r="152" spans="1:13" x14ac:dyDescent="0.25">
      <c r="A152" s="8">
        <v>9</v>
      </c>
      <c r="B152" s="8" t="s">
        <v>121</v>
      </c>
      <c r="C152" s="8" t="s">
        <v>301</v>
      </c>
      <c r="D152" s="8" t="s">
        <v>28</v>
      </c>
      <c r="E152" s="8" t="s">
        <v>29</v>
      </c>
      <c r="F152" s="8" t="s">
        <v>96</v>
      </c>
      <c r="G152" s="11">
        <v>0</v>
      </c>
      <c r="H152" s="11">
        <v>0.65269298090049266</v>
      </c>
      <c r="I152" s="11">
        <v>1.4671353884529701</v>
      </c>
      <c r="J152" s="11">
        <v>1.3169091629820999</v>
      </c>
      <c r="K152" s="11">
        <v>32.191335446084793</v>
      </c>
      <c r="L152" s="11">
        <v>24.26414905968165</v>
      </c>
      <c r="M152" s="11">
        <v>93.660439746609754</v>
      </c>
    </row>
    <row r="153" spans="1:13" x14ac:dyDescent="0.25">
      <c r="A153" s="6">
        <v>10</v>
      </c>
      <c r="B153" s="6" t="s">
        <v>126</v>
      </c>
      <c r="C153" s="6" t="s">
        <v>300</v>
      </c>
      <c r="D153" s="6" t="s">
        <v>28</v>
      </c>
      <c r="E153" s="6" t="s">
        <v>29</v>
      </c>
      <c r="F153" s="6" t="s">
        <v>96</v>
      </c>
      <c r="G153" s="10">
        <v>0</v>
      </c>
      <c r="H153" s="10">
        <v>0.59332623218911007</v>
      </c>
      <c r="I153" s="10">
        <v>0.50673195714436814</v>
      </c>
      <c r="J153" s="10">
        <v>0.17990784099446211</v>
      </c>
      <c r="K153" s="10">
        <v>45.789637948542399</v>
      </c>
      <c r="L153" s="10">
        <v>33.363070952937612</v>
      </c>
      <c r="M153" s="10">
        <v>67.975437349422975</v>
      </c>
    </row>
    <row r="154" spans="1:13" x14ac:dyDescent="0.25">
      <c r="A154" s="8">
        <v>10</v>
      </c>
      <c r="B154" s="8" t="s">
        <v>126</v>
      </c>
      <c r="C154" s="8" t="s">
        <v>301</v>
      </c>
      <c r="D154" s="8" t="s">
        <v>28</v>
      </c>
      <c r="E154" s="8" t="s">
        <v>29</v>
      </c>
      <c r="F154" s="8" t="s">
        <v>96</v>
      </c>
      <c r="G154" s="11">
        <v>0</v>
      </c>
      <c r="H154" s="11">
        <v>0.83987814360898194</v>
      </c>
      <c r="I154" s="11">
        <v>1.7979996304002079</v>
      </c>
      <c r="J154" s="11">
        <v>0.57590785271071809</v>
      </c>
      <c r="K154" s="11">
        <v>16.043682536598411</v>
      </c>
      <c r="L154" s="11">
        <v>16.779596658523619</v>
      </c>
      <c r="M154" s="11">
        <v>112.1322772301322</v>
      </c>
    </row>
    <row r="155" spans="1:13" x14ac:dyDescent="0.25">
      <c r="A155" s="6">
        <v>12</v>
      </c>
      <c r="B155" s="6" t="s">
        <v>136</v>
      </c>
      <c r="C155" s="6" t="s">
        <v>300</v>
      </c>
      <c r="D155" s="6" t="s">
        <v>28</v>
      </c>
      <c r="E155" s="6" t="s">
        <v>29</v>
      </c>
      <c r="F155" s="6" t="s">
        <v>130</v>
      </c>
      <c r="G155" s="10">
        <v>0</v>
      </c>
      <c r="H155" s="10">
        <v>0.9969610105345994</v>
      </c>
      <c r="I155" s="10">
        <v>0.70531249288605091</v>
      </c>
      <c r="J155" s="10">
        <v>0</v>
      </c>
      <c r="K155" s="10">
        <v>41.444028126689659</v>
      </c>
      <c r="L155" s="10">
        <v>29.143387878980331</v>
      </c>
      <c r="M155" s="10">
        <v>64.401008346932969</v>
      </c>
    </row>
    <row r="156" spans="1:13" x14ac:dyDescent="0.25">
      <c r="A156" s="8">
        <v>12</v>
      </c>
      <c r="B156" s="8" t="s">
        <v>136</v>
      </c>
      <c r="C156" s="8" t="s">
        <v>301</v>
      </c>
      <c r="D156" s="8" t="s">
        <v>28</v>
      </c>
      <c r="E156" s="8" t="s">
        <v>29</v>
      </c>
      <c r="F156" s="8" t="s">
        <v>130</v>
      </c>
      <c r="G156" s="11">
        <v>0</v>
      </c>
      <c r="H156" s="11">
        <v>0.11699904226004509</v>
      </c>
      <c r="I156" s="11">
        <v>0.96438076555850782</v>
      </c>
      <c r="J156" s="11">
        <v>0.77930295991607568</v>
      </c>
      <c r="K156" s="11">
        <v>36.712209444916184</v>
      </c>
      <c r="L156" s="11">
        <v>25.040527354235781</v>
      </c>
      <c r="M156" s="11">
        <v>74.293641117732662</v>
      </c>
    </row>
    <row r="157" spans="1:13" x14ac:dyDescent="0.25">
      <c r="A157" s="6">
        <v>13</v>
      </c>
      <c r="B157" s="6" t="s">
        <v>141</v>
      </c>
      <c r="C157" s="6" t="s">
        <v>300</v>
      </c>
      <c r="D157" s="6" t="s">
        <v>28</v>
      </c>
      <c r="E157" s="6" t="s">
        <v>29</v>
      </c>
      <c r="F157" s="6" t="s">
        <v>130</v>
      </c>
      <c r="G157" s="10">
        <v>0</v>
      </c>
      <c r="H157" s="10">
        <v>0.5585488688475958</v>
      </c>
      <c r="I157" s="10">
        <v>1.1280191553248591</v>
      </c>
      <c r="J157" s="10">
        <v>0.85257026986061224</v>
      </c>
      <c r="K157" s="10">
        <v>43.558503820487473</v>
      </c>
      <c r="L157" s="10">
        <v>32.438943986672427</v>
      </c>
      <c r="M157" s="10">
        <v>66.332492528405481</v>
      </c>
    </row>
    <row r="158" spans="1:13" x14ac:dyDescent="0.25">
      <c r="A158" s="8">
        <v>13</v>
      </c>
      <c r="B158" s="8" t="s">
        <v>141</v>
      </c>
      <c r="C158" s="8" t="s">
        <v>301</v>
      </c>
      <c r="D158" s="8" t="s">
        <v>28</v>
      </c>
      <c r="E158" s="8" t="s">
        <v>29</v>
      </c>
      <c r="F158" s="8" t="s">
        <v>130</v>
      </c>
      <c r="G158" s="11">
        <v>0</v>
      </c>
      <c r="H158" s="11">
        <v>0.43407803900839542</v>
      </c>
      <c r="I158" s="11">
        <v>2.0574693428543021</v>
      </c>
      <c r="J158" s="11">
        <v>0.27011205530314503</v>
      </c>
      <c r="K158" s="11">
        <v>30.597979144685119</v>
      </c>
      <c r="L158" s="11">
        <v>25.113544257186629</v>
      </c>
      <c r="M158" s="11">
        <v>85.251487097446585</v>
      </c>
    </row>
    <row r="159" spans="1:13" x14ac:dyDescent="0.25">
      <c r="A159" s="6">
        <v>14</v>
      </c>
      <c r="B159" s="6" t="s">
        <v>144</v>
      </c>
      <c r="C159" s="6" t="s">
        <v>300</v>
      </c>
      <c r="D159" s="6" t="s">
        <v>28</v>
      </c>
      <c r="E159" s="6" t="s">
        <v>29</v>
      </c>
      <c r="F159" s="6" t="s">
        <v>130</v>
      </c>
      <c r="G159" s="10">
        <v>0</v>
      </c>
      <c r="H159" s="10">
        <v>1.156478673390982</v>
      </c>
      <c r="I159" s="10">
        <v>0.51635952825814069</v>
      </c>
      <c r="J159" s="10">
        <v>0.43943113160824449</v>
      </c>
      <c r="K159" s="10">
        <v>35.860322802540047</v>
      </c>
      <c r="L159" s="10">
        <v>24.93604446973648</v>
      </c>
      <c r="M159" s="10">
        <v>61.009959080237223</v>
      </c>
    </row>
    <row r="160" spans="1:13" x14ac:dyDescent="0.25">
      <c r="A160" s="8">
        <v>14</v>
      </c>
      <c r="B160" s="8" t="s">
        <v>144</v>
      </c>
      <c r="C160" s="8" t="s">
        <v>301</v>
      </c>
      <c r="D160" s="8" t="s">
        <v>28</v>
      </c>
      <c r="E160" s="8" t="s">
        <v>29</v>
      </c>
      <c r="F160" s="8" t="s">
        <v>130</v>
      </c>
      <c r="G160" s="11">
        <v>0</v>
      </c>
      <c r="H160" s="11">
        <v>0.1090721560237224</v>
      </c>
      <c r="I160" s="11">
        <v>0.83852134333277595</v>
      </c>
      <c r="J160" s="11">
        <v>0</v>
      </c>
      <c r="K160" s="11">
        <v>28.213201619757211</v>
      </c>
      <c r="L160" s="11">
        <v>20.93633895165053</v>
      </c>
      <c r="M160" s="11">
        <v>73.844802002142799</v>
      </c>
    </row>
    <row r="161" spans="1:13" x14ac:dyDescent="0.25">
      <c r="A161" s="6">
        <v>15</v>
      </c>
      <c r="B161" s="6" t="s">
        <v>150</v>
      </c>
      <c r="C161" s="6" t="s">
        <v>300</v>
      </c>
      <c r="D161" s="6" t="s">
        <v>28</v>
      </c>
      <c r="E161" s="6" t="s">
        <v>29</v>
      </c>
      <c r="F161" s="6" t="s">
        <v>130</v>
      </c>
      <c r="G161" s="10">
        <v>0</v>
      </c>
      <c r="H161" s="10">
        <v>0.52166162348455802</v>
      </c>
      <c r="I161" s="10">
        <v>0.55895774646599539</v>
      </c>
      <c r="J161" s="10">
        <v>0.35482326921949731</v>
      </c>
      <c r="K161" s="10">
        <v>43.320905108620543</v>
      </c>
      <c r="L161" s="10">
        <v>28.28601681705657</v>
      </c>
      <c r="M161" s="10">
        <v>70.673195048294886</v>
      </c>
    </row>
    <row r="162" spans="1:13" x14ac:dyDescent="0.25">
      <c r="A162" s="8">
        <v>15</v>
      </c>
      <c r="B162" s="8" t="s">
        <v>150</v>
      </c>
      <c r="C162" s="8" t="s">
        <v>301</v>
      </c>
      <c r="D162" s="8" t="s">
        <v>28</v>
      </c>
      <c r="E162" s="8" t="s">
        <v>29</v>
      </c>
      <c r="F162" s="8" t="s">
        <v>130</v>
      </c>
      <c r="G162" s="11">
        <v>0</v>
      </c>
      <c r="H162" s="11">
        <v>0.43407803900839542</v>
      </c>
      <c r="I162" s="11">
        <v>2.0373023196522468</v>
      </c>
      <c r="J162" s="11">
        <v>0.27011205530314503</v>
      </c>
      <c r="K162" s="11">
        <v>30.597979144685119</v>
      </c>
      <c r="L162" s="11">
        <v>25.113544257186629</v>
      </c>
      <c r="M162" s="11">
        <v>85.249995172615314</v>
      </c>
    </row>
    <row r="163" spans="1:13" x14ac:dyDescent="0.25">
      <c r="A163" s="6">
        <v>16</v>
      </c>
      <c r="B163" s="6" t="s">
        <v>153</v>
      </c>
      <c r="C163" s="6" t="s">
        <v>300</v>
      </c>
      <c r="D163" s="6" t="s">
        <v>28</v>
      </c>
      <c r="E163" s="6" t="s">
        <v>29</v>
      </c>
      <c r="F163" s="6" t="s">
        <v>130</v>
      </c>
      <c r="G163" s="10">
        <v>0</v>
      </c>
      <c r="H163" s="10">
        <v>1.349334550099321</v>
      </c>
      <c r="I163" s="10">
        <v>0.85626343374075942</v>
      </c>
      <c r="J163" s="10">
        <v>0.6700482500107362</v>
      </c>
      <c r="K163" s="10">
        <v>44.025744768194123</v>
      </c>
      <c r="L163" s="10">
        <v>31.17572674470658</v>
      </c>
      <c r="M163" s="10">
        <v>74.16217403535677</v>
      </c>
    </row>
    <row r="164" spans="1:13" x14ac:dyDescent="0.25">
      <c r="A164" s="8">
        <v>16</v>
      </c>
      <c r="B164" s="8" t="s">
        <v>153</v>
      </c>
      <c r="C164" s="8" t="s">
        <v>301</v>
      </c>
      <c r="D164" s="8" t="s">
        <v>28</v>
      </c>
      <c r="E164" s="8" t="s">
        <v>29</v>
      </c>
      <c r="F164" s="8" t="s">
        <v>130</v>
      </c>
      <c r="G164" s="11">
        <v>0</v>
      </c>
      <c r="H164" s="11">
        <v>0.32294108699012902</v>
      </c>
      <c r="I164" s="11">
        <v>0.5256426997626461</v>
      </c>
      <c r="J164" s="11">
        <v>1.2222826160609359</v>
      </c>
      <c r="K164" s="11">
        <v>30.18268163700424</v>
      </c>
      <c r="L164" s="11">
        <v>24.79776882222491</v>
      </c>
      <c r="M164" s="11">
        <v>96.896273385660237</v>
      </c>
    </row>
    <row r="165" spans="1:13" x14ac:dyDescent="0.25">
      <c r="A165" s="6">
        <v>17</v>
      </c>
      <c r="B165" s="6" t="s">
        <v>158</v>
      </c>
      <c r="C165" s="6" t="s">
        <v>300</v>
      </c>
      <c r="D165" s="6" t="s">
        <v>28</v>
      </c>
      <c r="E165" s="6" t="s">
        <v>29</v>
      </c>
      <c r="F165" s="6" t="s">
        <v>130</v>
      </c>
      <c r="G165" s="10">
        <v>0</v>
      </c>
      <c r="H165" s="10">
        <v>0.1862366457606098</v>
      </c>
      <c r="I165" s="10">
        <v>0.28644165794522208</v>
      </c>
      <c r="J165" s="10">
        <v>0.30638082516478932</v>
      </c>
      <c r="K165" s="10">
        <v>51.040210715733267</v>
      </c>
      <c r="L165" s="10">
        <v>36.752369717980088</v>
      </c>
      <c r="M165" s="10">
        <v>57.027122505769483</v>
      </c>
    </row>
    <row r="166" spans="1:13" x14ac:dyDescent="0.25">
      <c r="A166" s="8">
        <v>17</v>
      </c>
      <c r="B166" s="8" t="s">
        <v>158</v>
      </c>
      <c r="C166" s="8" t="s">
        <v>301</v>
      </c>
      <c r="D166" s="8" t="s">
        <v>28</v>
      </c>
      <c r="E166" s="8" t="s">
        <v>29</v>
      </c>
      <c r="F166" s="8" t="s">
        <v>130</v>
      </c>
      <c r="G166" s="11">
        <v>0</v>
      </c>
      <c r="H166" s="11">
        <v>0.43407803900839542</v>
      </c>
      <c r="I166" s="11">
        <v>2.031482381418694</v>
      </c>
      <c r="J166" s="11">
        <v>0.27011205530314503</v>
      </c>
      <c r="K166" s="11">
        <v>30.597979144685119</v>
      </c>
      <c r="L166" s="11">
        <v>25.113544257186629</v>
      </c>
      <c r="M166" s="11">
        <v>85.372241243471635</v>
      </c>
    </row>
    <row r="167" spans="1:13" x14ac:dyDescent="0.25">
      <c r="A167" s="6">
        <v>19</v>
      </c>
      <c r="B167" s="6" t="s">
        <v>165</v>
      </c>
      <c r="C167" s="6" t="s">
        <v>300</v>
      </c>
      <c r="D167" s="6" t="s">
        <v>28</v>
      </c>
      <c r="E167" s="6" t="s">
        <v>29</v>
      </c>
      <c r="F167" s="6" t="s">
        <v>96</v>
      </c>
      <c r="G167" s="10">
        <v>0</v>
      </c>
      <c r="H167" s="10">
        <v>0.38306581509713777</v>
      </c>
      <c r="I167" s="10">
        <v>2.1897722900283969</v>
      </c>
      <c r="J167" s="10">
        <v>0.27392076034226231</v>
      </c>
      <c r="K167" s="10">
        <v>38.075352356880842</v>
      </c>
      <c r="L167" s="10">
        <v>25.722958107605791</v>
      </c>
      <c r="M167" s="10">
        <v>79.472710896771332</v>
      </c>
    </row>
    <row r="168" spans="1:13" x14ac:dyDescent="0.25">
      <c r="A168" s="8">
        <v>19</v>
      </c>
      <c r="B168" s="8" t="s">
        <v>165</v>
      </c>
      <c r="C168" s="8" t="s">
        <v>301</v>
      </c>
      <c r="D168" s="8" t="s">
        <v>28</v>
      </c>
      <c r="E168" s="8" t="s">
        <v>29</v>
      </c>
      <c r="F168" s="8" t="s">
        <v>96</v>
      </c>
      <c r="G168" s="11">
        <v>0</v>
      </c>
      <c r="H168" s="11">
        <v>0.57197412560405814</v>
      </c>
      <c r="I168" s="11">
        <v>0.55256306869115623</v>
      </c>
      <c r="J168" s="11">
        <v>1.033360466311896</v>
      </c>
      <c r="K168" s="11">
        <v>27.609909695058061</v>
      </c>
      <c r="L168" s="11">
        <v>19.892928271907479</v>
      </c>
      <c r="M168" s="11">
        <v>96.565811989808935</v>
      </c>
    </row>
    <row r="169" spans="1:13" x14ac:dyDescent="0.25">
      <c r="A169" s="6">
        <v>20</v>
      </c>
      <c r="B169" s="6" t="s">
        <v>168</v>
      </c>
      <c r="C169" s="6" t="s">
        <v>300</v>
      </c>
      <c r="D169" s="6" t="s">
        <v>28</v>
      </c>
      <c r="E169" s="6" t="s">
        <v>29</v>
      </c>
      <c r="F169" s="6" t="s">
        <v>96</v>
      </c>
      <c r="G169" s="10">
        <v>0</v>
      </c>
      <c r="H169" s="10">
        <v>0.25917593164792052</v>
      </c>
      <c r="I169" s="10">
        <v>0.71970849070423348</v>
      </c>
      <c r="J169" s="10">
        <v>0</v>
      </c>
      <c r="K169" s="10">
        <v>36.700109732675372</v>
      </c>
      <c r="L169" s="10">
        <v>27.29337511764809</v>
      </c>
      <c r="M169" s="10">
        <v>76.745440672119003</v>
      </c>
    </row>
    <row r="170" spans="1:13" x14ac:dyDescent="0.25">
      <c r="A170" s="8">
        <v>20</v>
      </c>
      <c r="B170" s="8" t="s">
        <v>168</v>
      </c>
      <c r="C170" s="8" t="s">
        <v>301</v>
      </c>
      <c r="D170" s="8" t="s">
        <v>28</v>
      </c>
      <c r="E170" s="8" t="s">
        <v>29</v>
      </c>
      <c r="F170" s="8" t="s">
        <v>96</v>
      </c>
      <c r="G170" s="11">
        <v>0</v>
      </c>
      <c r="H170" s="11">
        <v>0.22156090055420241</v>
      </c>
      <c r="I170" s="11">
        <v>0</v>
      </c>
      <c r="J170" s="11">
        <v>0.11647473715777031</v>
      </c>
      <c r="K170" s="11">
        <v>21.563271544616299</v>
      </c>
      <c r="L170" s="11">
        <v>17.074263189728988</v>
      </c>
      <c r="M170" s="11">
        <v>102.738159054381</v>
      </c>
    </row>
    <row r="171" spans="1:13" x14ac:dyDescent="0.25">
      <c r="A171" s="6">
        <v>21</v>
      </c>
      <c r="B171" s="6" t="s">
        <v>171</v>
      </c>
      <c r="C171" s="6" t="s">
        <v>300</v>
      </c>
      <c r="D171" s="6" t="s">
        <v>28</v>
      </c>
      <c r="E171" s="6" t="s">
        <v>29</v>
      </c>
      <c r="F171" s="6" t="s">
        <v>96</v>
      </c>
      <c r="G171" s="10">
        <v>0</v>
      </c>
      <c r="H171" s="10">
        <v>0.38306581509713777</v>
      </c>
      <c r="I171" s="10">
        <v>2.3834357776949719</v>
      </c>
      <c r="J171" s="10">
        <v>0.20461421027387261</v>
      </c>
      <c r="K171" s="10">
        <v>40.286147423309231</v>
      </c>
      <c r="L171" s="10">
        <v>27.901828734973211</v>
      </c>
      <c r="M171" s="10">
        <v>82.42120168353226</v>
      </c>
    </row>
    <row r="172" spans="1:13" x14ac:dyDescent="0.25">
      <c r="A172" s="8">
        <v>21</v>
      </c>
      <c r="B172" s="8" t="s">
        <v>171</v>
      </c>
      <c r="C172" s="8" t="s">
        <v>301</v>
      </c>
      <c r="D172" s="8" t="s">
        <v>28</v>
      </c>
      <c r="E172" s="8" t="s">
        <v>29</v>
      </c>
      <c r="F172" s="8" t="s">
        <v>96</v>
      </c>
      <c r="G172" s="11">
        <v>0</v>
      </c>
      <c r="H172" s="11">
        <v>0.65269298090049266</v>
      </c>
      <c r="I172" s="11">
        <v>1.4671353884529701</v>
      </c>
      <c r="J172" s="11">
        <v>1.3169091629820999</v>
      </c>
      <c r="K172" s="11">
        <v>32.226640796549887</v>
      </c>
      <c r="L172" s="11">
        <v>24.26414905968165</v>
      </c>
      <c r="M172" s="11">
        <v>93.660508823399397</v>
      </c>
    </row>
    <row r="173" spans="1:13" x14ac:dyDescent="0.25">
      <c r="A173" s="6">
        <v>22</v>
      </c>
      <c r="B173" s="6" t="s">
        <v>173</v>
      </c>
      <c r="C173" s="6" t="s">
        <v>300</v>
      </c>
      <c r="D173" s="6" t="s">
        <v>28</v>
      </c>
      <c r="E173" s="6" t="s">
        <v>29</v>
      </c>
      <c r="F173" s="6" t="s">
        <v>96</v>
      </c>
      <c r="G173" s="10">
        <v>0</v>
      </c>
      <c r="H173" s="10">
        <v>0.48442489010916312</v>
      </c>
      <c r="I173" s="10">
        <v>0.3753728936893338</v>
      </c>
      <c r="J173" s="10">
        <v>0.18567692695020599</v>
      </c>
      <c r="K173" s="10">
        <v>43.705091986944623</v>
      </c>
      <c r="L173" s="10">
        <v>31.31100557837641</v>
      </c>
      <c r="M173" s="10">
        <v>65.770164610094071</v>
      </c>
    </row>
    <row r="174" spans="1:13" x14ac:dyDescent="0.25">
      <c r="A174" s="8">
        <v>22</v>
      </c>
      <c r="B174" s="8" t="s">
        <v>173</v>
      </c>
      <c r="C174" s="8" t="s">
        <v>301</v>
      </c>
      <c r="D174" s="8" t="s">
        <v>28</v>
      </c>
      <c r="E174" s="8" t="s">
        <v>29</v>
      </c>
      <c r="F174" s="8" t="s">
        <v>96</v>
      </c>
      <c r="G174" s="11">
        <v>0</v>
      </c>
      <c r="H174" s="11">
        <v>0.22156090055420241</v>
      </c>
      <c r="I174" s="11">
        <v>0</v>
      </c>
      <c r="J174" s="11">
        <v>0.11647473715777031</v>
      </c>
      <c r="K174" s="11">
        <v>21.5665214603954</v>
      </c>
      <c r="L174" s="11">
        <v>17.030681899116161</v>
      </c>
      <c r="M174" s="11">
        <v>102.738159054381</v>
      </c>
    </row>
    <row r="175" spans="1:13" x14ac:dyDescent="0.25">
      <c r="A175" s="6">
        <v>24</v>
      </c>
      <c r="B175" s="6" t="s">
        <v>178</v>
      </c>
      <c r="C175" s="6" t="s">
        <v>300</v>
      </c>
      <c r="D175" s="6" t="s">
        <v>28</v>
      </c>
      <c r="E175" s="6" t="s">
        <v>29</v>
      </c>
      <c r="F175" s="6" t="s">
        <v>130</v>
      </c>
      <c r="G175" s="10">
        <v>0</v>
      </c>
      <c r="H175" s="10">
        <v>0.43287959154678851</v>
      </c>
      <c r="I175" s="10">
        <v>0.5147545761381157</v>
      </c>
      <c r="J175" s="10">
        <v>0.73819242016004771</v>
      </c>
      <c r="K175" s="10">
        <v>38.040822350023817</v>
      </c>
      <c r="L175" s="10">
        <v>28.349735048175351</v>
      </c>
      <c r="M175" s="10">
        <v>56.945127768261933</v>
      </c>
    </row>
    <row r="176" spans="1:13" x14ac:dyDescent="0.25">
      <c r="A176" s="8">
        <v>24</v>
      </c>
      <c r="B176" s="8" t="s">
        <v>178</v>
      </c>
      <c r="C176" s="8" t="s">
        <v>301</v>
      </c>
      <c r="D176" s="8" t="s">
        <v>28</v>
      </c>
      <c r="E176" s="8" t="s">
        <v>29</v>
      </c>
      <c r="F176" s="8" t="s">
        <v>130</v>
      </c>
      <c r="G176" s="11">
        <v>0</v>
      </c>
      <c r="H176" s="11">
        <v>0.1090721560237224</v>
      </c>
      <c r="I176" s="11">
        <v>0.87722495457012495</v>
      </c>
      <c r="J176" s="11">
        <v>0</v>
      </c>
      <c r="K176" s="11">
        <v>28.213201619757211</v>
      </c>
      <c r="L176" s="11">
        <v>20.93633895165053</v>
      </c>
      <c r="M176" s="11">
        <v>73.751298912570178</v>
      </c>
    </row>
    <row r="177" spans="1:13" x14ac:dyDescent="0.25">
      <c r="A177" s="6">
        <v>25</v>
      </c>
      <c r="B177" s="6" t="s">
        <v>181</v>
      </c>
      <c r="C177" s="6" t="s">
        <v>300</v>
      </c>
      <c r="D177" s="6" t="s">
        <v>28</v>
      </c>
      <c r="E177" s="6" t="s">
        <v>29</v>
      </c>
      <c r="F177" s="6" t="s">
        <v>130</v>
      </c>
      <c r="G177" s="10">
        <v>0</v>
      </c>
      <c r="H177" s="10">
        <v>0.19263724537963819</v>
      </c>
      <c r="I177" s="10">
        <v>0.55895774646599539</v>
      </c>
      <c r="J177" s="10">
        <v>0.1091649650425091</v>
      </c>
      <c r="K177" s="10">
        <v>41.384212685216482</v>
      </c>
      <c r="L177" s="10">
        <v>26.988321053442991</v>
      </c>
      <c r="M177" s="10">
        <v>67.483594884180178</v>
      </c>
    </row>
    <row r="178" spans="1:13" x14ac:dyDescent="0.25">
      <c r="A178" s="8">
        <v>25</v>
      </c>
      <c r="B178" s="8" t="s">
        <v>181</v>
      </c>
      <c r="C178" s="8" t="s">
        <v>301</v>
      </c>
      <c r="D178" s="8" t="s">
        <v>28</v>
      </c>
      <c r="E178" s="8" t="s">
        <v>29</v>
      </c>
      <c r="F178" s="8" t="s">
        <v>130</v>
      </c>
      <c r="G178" s="11">
        <v>0</v>
      </c>
      <c r="H178" s="11">
        <v>0.11699904226004509</v>
      </c>
      <c r="I178" s="11">
        <v>0.96270223906633912</v>
      </c>
      <c r="J178" s="11">
        <v>0.78217538796692843</v>
      </c>
      <c r="K178" s="11">
        <v>36.712209444916184</v>
      </c>
      <c r="L178" s="11">
        <v>25.040527354235781</v>
      </c>
      <c r="M178" s="11">
        <v>74.293641117732662</v>
      </c>
    </row>
    <row r="179" spans="1:13" x14ac:dyDescent="0.25">
      <c r="A179" s="6">
        <v>26</v>
      </c>
      <c r="B179" s="6" t="s">
        <v>183</v>
      </c>
      <c r="C179" s="6" t="s">
        <v>300</v>
      </c>
      <c r="D179" s="6" t="s">
        <v>28</v>
      </c>
      <c r="E179" s="6" t="s">
        <v>29</v>
      </c>
      <c r="F179" s="6" t="s">
        <v>130</v>
      </c>
      <c r="G179" s="10">
        <v>0</v>
      </c>
      <c r="H179" s="10">
        <v>0.5585488688475958</v>
      </c>
      <c r="I179" s="10">
        <v>1.3470620501331301</v>
      </c>
      <c r="J179" s="10">
        <v>1.1588950583343161</v>
      </c>
      <c r="K179" s="10">
        <v>45.26405758465819</v>
      </c>
      <c r="L179" s="10">
        <v>33.585180420899938</v>
      </c>
      <c r="M179" s="10">
        <v>71.459183582966247</v>
      </c>
    </row>
    <row r="180" spans="1:13" x14ac:dyDescent="0.25">
      <c r="A180" s="8">
        <v>26</v>
      </c>
      <c r="B180" s="8" t="s">
        <v>183</v>
      </c>
      <c r="C180" s="8" t="s">
        <v>301</v>
      </c>
      <c r="D180" s="8" t="s">
        <v>28</v>
      </c>
      <c r="E180" s="8" t="s">
        <v>29</v>
      </c>
      <c r="F180" s="8" t="s">
        <v>130</v>
      </c>
      <c r="G180" s="11">
        <v>0</v>
      </c>
      <c r="H180" s="11">
        <v>0.34145817954491431</v>
      </c>
      <c r="I180" s="11">
        <v>0.5256426997626461</v>
      </c>
      <c r="J180" s="11">
        <v>1.2222826160609359</v>
      </c>
      <c r="K180" s="11">
        <v>30.18268163700424</v>
      </c>
      <c r="L180" s="11">
        <v>24.888619369878651</v>
      </c>
      <c r="M180" s="11">
        <v>96.902750674201656</v>
      </c>
    </row>
    <row r="181" spans="1:13" x14ac:dyDescent="0.25">
      <c r="A181" s="6">
        <v>27</v>
      </c>
      <c r="B181" s="6" t="s">
        <v>186</v>
      </c>
      <c r="C181" s="6" t="s">
        <v>300</v>
      </c>
      <c r="D181" s="6" t="s">
        <v>28</v>
      </c>
      <c r="E181" s="6" t="s">
        <v>29</v>
      </c>
      <c r="F181" s="6" t="s">
        <v>130</v>
      </c>
      <c r="G181" s="10">
        <v>0</v>
      </c>
      <c r="H181" s="10">
        <v>0.1769495542483206</v>
      </c>
      <c r="I181" s="10">
        <v>0.28644165794522208</v>
      </c>
      <c r="J181" s="10">
        <v>0.23768555241039721</v>
      </c>
      <c r="K181" s="10">
        <v>48.513466786391881</v>
      </c>
      <c r="L181" s="10">
        <v>34.664168060301797</v>
      </c>
      <c r="M181" s="10">
        <v>54.415752988771978</v>
      </c>
    </row>
    <row r="182" spans="1:13" x14ac:dyDescent="0.25">
      <c r="A182" s="8">
        <v>27</v>
      </c>
      <c r="B182" s="8" t="s">
        <v>186</v>
      </c>
      <c r="C182" s="8" t="s">
        <v>301</v>
      </c>
      <c r="D182" s="8" t="s">
        <v>28</v>
      </c>
      <c r="E182" s="8" t="s">
        <v>29</v>
      </c>
      <c r="F182" s="8" t="s">
        <v>130</v>
      </c>
      <c r="G182" s="11">
        <v>0</v>
      </c>
      <c r="H182" s="11">
        <v>0.11699904226004509</v>
      </c>
      <c r="I182" s="11">
        <v>0.95688081818818838</v>
      </c>
      <c r="J182" s="11">
        <v>0.74908888986193567</v>
      </c>
      <c r="K182" s="11">
        <v>36.712209444916184</v>
      </c>
      <c r="L182" s="11">
        <v>25.040527354235781</v>
      </c>
      <c r="M182" s="11">
        <v>74.293641117732662</v>
      </c>
    </row>
    <row r="183" spans="1:13" x14ac:dyDescent="0.25">
      <c r="A183" s="6">
        <v>29</v>
      </c>
      <c r="B183" s="6" t="s">
        <v>192</v>
      </c>
      <c r="C183" s="6" t="s">
        <v>300</v>
      </c>
      <c r="D183" s="6" t="s">
        <v>28</v>
      </c>
      <c r="E183" s="6" t="s">
        <v>29</v>
      </c>
      <c r="F183" s="6" t="s">
        <v>96</v>
      </c>
      <c r="G183" s="10">
        <v>0</v>
      </c>
      <c r="H183" s="10">
        <v>0.37366038708160421</v>
      </c>
      <c r="I183" s="10">
        <v>0.81249600997082738</v>
      </c>
      <c r="J183" s="10">
        <v>0</v>
      </c>
      <c r="K183" s="10">
        <v>37.762458193898382</v>
      </c>
      <c r="L183" s="10">
        <v>27.857434291214389</v>
      </c>
      <c r="M183" s="10">
        <v>81.812407450945699</v>
      </c>
    </row>
    <row r="184" spans="1:13" x14ac:dyDescent="0.25">
      <c r="A184" s="8">
        <v>29</v>
      </c>
      <c r="B184" s="8" t="s">
        <v>192</v>
      </c>
      <c r="C184" s="8" t="s">
        <v>301</v>
      </c>
      <c r="D184" s="8" t="s">
        <v>28</v>
      </c>
      <c r="E184" s="8" t="s">
        <v>29</v>
      </c>
      <c r="F184" s="8" t="s">
        <v>96</v>
      </c>
      <c r="G184" s="11">
        <v>0</v>
      </c>
      <c r="H184" s="11">
        <v>0.65269298090049266</v>
      </c>
      <c r="I184" s="11">
        <v>1.2528480982183561</v>
      </c>
      <c r="J184" s="11">
        <v>1.149895932972568</v>
      </c>
      <c r="K184" s="11">
        <v>30.80621122533811</v>
      </c>
      <c r="L184" s="11">
        <v>23.37216669639708</v>
      </c>
      <c r="M184" s="11">
        <v>91.318408228731826</v>
      </c>
    </row>
    <row r="185" spans="1:13" x14ac:dyDescent="0.25">
      <c r="A185" s="6">
        <v>30</v>
      </c>
      <c r="B185" s="6" t="s">
        <v>194</v>
      </c>
      <c r="C185" s="6" t="s">
        <v>300</v>
      </c>
      <c r="D185" s="6" t="s">
        <v>28</v>
      </c>
      <c r="E185" s="6" t="s">
        <v>29</v>
      </c>
      <c r="F185" s="6" t="s">
        <v>96</v>
      </c>
      <c r="G185" s="10">
        <v>0</v>
      </c>
      <c r="H185" s="10">
        <v>0.69927270070112768</v>
      </c>
      <c r="I185" s="10">
        <v>0.46628567792614323</v>
      </c>
      <c r="J185" s="10">
        <v>0.25148530388149032</v>
      </c>
      <c r="K185" s="10">
        <v>44.949249206480651</v>
      </c>
      <c r="L185" s="10">
        <v>32.631645338813911</v>
      </c>
      <c r="M185" s="10">
        <v>66.979394276202214</v>
      </c>
    </row>
    <row r="186" spans="1:13" x14ac:dyDescent="0.25">
      <c r="A186" s="8">
        <v>30</v>
      </c>
      <c r="B186" s="8" t="s">
        <v>194</v>
      </c>
      <c r="C186" s="8" t="s">
        <v>301</v>
      </c>
      <c r="D186" s="8" t="s">
        <v>28</v>
      </c>
      <c r="E186" s="8" t="s">
        <v>29</v>
      </c>
      <c r="F186" s="8" t="s">
        <v>96</v>
      </c>
      <c r="G186" s="11">
        <v>0</v>
      </c>
      <c r="H186" s="11">
        <v>0.57528410887100834</v>
      </c>
      <c r="I186" s="11">
        <v>0.55256306869115623</v>
      </c>
      <c r="J186" s="11">
        <v>0.6833899734934139</v>
      </c>
      <c r="K186" s="11">
        <v>27.609909695058061</v>
      </c>
      <c r="L186" s="11">
        <v>19.892928271907479</v>
      </c>
      <c r="M186" s="11">
        <v>96.5752612810128</v>
      </c>
    </row>
    <row r="187" spans="1:13" x14ac:dyDescent="0.25">
      <c r="A187" s="6">
        <v>32</v>
      </c>
      <c r="B187" s="6" t="s">
        <v>201</v>
      </c>
      <c r="C187" s="6" t="s">
        <v>300</v>
      </c>
      <c r="D187" s="6" t="s">
        <v>28</v>
      </c>
      <c r="E187" s="6" t="s">
        <v>35</v>
      </c>
      <c r="F187" s="6" t="s">
        <v>76</v>
      </c>
      <c r="G187" s="10">
        <v>0.14191087104532421</v>
      </c>
      <c r="H187" s="10">
        <v>1.601243883509142</v>
      </c>
      <c r="I187" s="10">
        <v>0</v>
      </c>
      <c r="J187" s="10">
        <v>0.2289474824354939</v>
      </c>
      <c r="K187" s="10">
        <v>60.390008783948808</v>
      </c>
      <c r="L187" s="10">
        <v>48.618346688203523</v>
      </c>
      <c r="M187" s="10">
        <v>213.8473891466835</v>
      </c>
    </row>
    <row r="188" spans="1:13" x14ac:dyDescent="0.25">
      <c r="A188" s="8">
        <v>32</v>
      </c>
      <c r="B188" s="8" t="s">
        <v>201</v>
      </c>
      <c r="C188" s="8" t="s">
        <v>301</v>
      </c>
      <c r="D188" s="8" t="s">
        <v>28</v>
      </c>
      <c r="E188" s="8" t="s">
        <v>35</v>
      </c>
      <c r="F188" s="8" t="s">
        <v>76</v>
      </c>
      <c r="G188" s="11">
        <v>0</v>
      </c>
      <c r="H188" s="11">
        <v>0.2136487015115684</v>
      </c>
      <c r="I188" s="11">
        <v>0</v>
      </c>
      <c r="J188" s="11">
        <v>0.30731281945969252</v>
      </c>
      <c r="K188" s="11">
        <v>59.158885604214703</v>
      </c>
      <c r="L188" s="11">
        <v>41.619295306483529</v>
      </c>
      <c r="M188" s="11">
        <v>229.35471122561461</v>
      </c>
    </row>
    <row r="189" spans="1:13" x14ac:dyDescent="0.25">
      <c r="A189" s="6">
        <v>33</v>
      </c>
      <c r="B189" s="6" t="s">
        <v>205</v>
      </c>
      <c r="C189" s="6" t="s">
        <v>300</v>
      </c>
      <c r="D189" s="6" t="s">
        <v>28</v>
      </c>
      <c r="E189" s="6" t="s">
        <v>35</v>
      </c>
      <c r="F189" s="6" t="s">
        <v>76</v>
      </c>
      <c r="G189" s="10">
        <v>0.14191087104532421</v>
      </c>
      <c r="H189" s="10">
        <v>1.601243883509142</v>
      </c>
      <c r="I189" s="10">
        <v>0</v>
      </c>
      <c r="J189" s="10">
        <v>0.2289474824354939</v>
      </c>
      <c r="K189" s="10">
        <v>59.191315216437189</v>
      </c>
      <c r="L189" s="10">
        <v>47.930006827141881</v>
      </c>
      <c r="M189" s="10">
        <v>211.20157917584299</v>
      </c>
    </row>
    <row r="190" spans="1:13" x14ac:dyDescent="0.25">
      <c r="A190" s="8">
        <v>33</v>
      </c>
      <c r="B190" s="8" t="s">
        <v>205</v>
      </c>
      <c r="C190" s="8" t="s">
        <v>301</v>
      </c>
      <c r="D190" s="8" t="s">
        <v>28</v>
      </c>
      <c r="E190" s="8" t="s">
        <v>35</v>
      </c>
      <c r="F190" s="8" t="s">
        <v>76</v>
      </c>
      <c r="G190" s="11">
        <v>0</v>
      </c>
      <c r="H190" s="11">
        <v>8.3882197240028836E-2</v>
      </c>
      <c r="I190" s="11">
        <v>4.6840289826681099E-2</v>
      </c>
      <c r="J190" s="11">
        <v>0.24952844734976529</v>
      </c>
      <c r="K190" s="11">
        <v>61.459796257234032</v>
      </c>
      <c r="L190" s="11">
        <v>46.932577465389251</v>
      </c>
      <c r="M190" s="11">
        <v>212.15760828628709</v>
      </c>
    </row>
    <row r="191" spans="1:13" x14ac:dyDescent="0.25">
      <c r="A191" s="6">
        <v>34</v>
      </c>
      <c r="B191" s="6" t="s">
        <v>210</v>
      </c>
      <c r="C191" s="6" t="s">
        <v>300</v>
      </c>
      <c r="D191" s="6" t="s">
        <v>28</v>
      </c>
      <c r="E191" s="6" t="s">
        <v>29</v>
      </c>
      <c r="F191" s="6" t="s">
        <v>130</v>
      </c>
      <c r="G191" s="10">
        <v>0</v>
      </c>
      <c r="H191" s="10">
        <v>0.53888783763546344</v>
      </c>
      <c r="I191" s="10">
        <v>0.55895774646599539</v>
      </c>
      <c r="J191" s="10">
        <v>0.67988509001220443</v>
      </c>
      <c r="K191" s="10">
        <v>44.665977960802778</v>
      </c>
      <c r="L191" s="10">
        <v>29.461790710784889</v>
      </c>
      <c r="M191" s="10">
        <v>76.489180134545222</v>
      </c>
    </row>
    <row r="192" spans="1:13" x14ac:dyDescent="0.25">
      <c r="A192" s="8">
        <v>34</v>
      </c>
      <c r="B192" s="8" t="s">
        <v>210</v>
      </c>
      <c r="C192" s="8" t="s">
        <v>301</v>
      </c>
      <c r="D192" s="8" t="s">
        <v>28</v>
      </c>
      <c r="E192" s="8" t="s">
        <v>29</v>
      </c>
      <c r="F192" s="8" t="s">
        <v>130</v>
      </c>
      <c r="G192" s="11">
        <v>0</v>
      </c>
      <c r="H192" s="11">
        <v>0.32127343254929702</v>
      </c>
      <c r="I192" s="11">
        <v>0.5256426997626461</v>
      </c>
      <c r="J192" s="11">
        <v>1.2222826160609359</v>
      </c>
      <c r="K192" s="11">
        <v>30.18268163700424</v>
      </c>
      <c r="L192" s="11">
        <v>24.87772879183483</v>
      </c>
      <c r="M192" s="11">
        <v>96.902750674201656</v>
      </c>
    </row>
    <row r="193" spans="1:13" x14ac:dyDescent="0.25">
      <c r="A193" s="6">
        <v>35</v>
      </c>
      <c r="B193" s="6" t="s">
        <v>212</v>
      </c>
      <c r="C193" s="6" t="s">
        <v>300</v>
      </c>
      <c r="D193" s="6" t="s">
        <v>28</v>
      </c>
      <c r="E193" s="6" t="s">
        <v>29</v>
      </c>
      <c r="F193" s="6" t="s">
        <v>130</v>
      </c>
      <c r="G193" s="10">
        <v>0</v>
      </c>
      <c r="H193" s="10">
        <v>7.0507928329398672E-2</v>
      </c>
      <c r="I193" s="10">
        <v>0.1448841273528465</v>
      </c>
      <c r="J193" s="10">
        <v>0.25921076400223497</v>
      </c>
      <c r="K193" s="10">
        <v>43.798166138630357</v>
      </c>
      <c r="L193" s="10">
        <v>31.327707045503551</v>
      </c>
      <c r="M193" s="10">
        <v>50.141193298572247</v>
      </c>
    </row>
    <row r="194" spans="1:13" x14ac:dyDescent="0.25">
      <c r="A194" s="8">
        <v>35</v>
      </c>
      <c r="B194" s="8" t="s">
        <v>212</v>
      </c>
      <c r="C194" s="8" t="s">
        <v>301</v>
      </c>
      <c r="D194" s="8" t="s">
        <v>28</v>
      </c>
      <c r="E194" s="8" t="s">
        <v>29</v>
      </c>
      <c r="F194" s="8" t="s">
        <v>130</v>
      </c>
      <c r="G194" s="11">
        <v>0</v>
      </c>
      <c r="H194" s="11">
        <v>0.1090721560237224</v>
      </c>
      <c r="I194" s="11">
        <v>0.85914424303480363</v>
      </c>
      <c r="J194" s="11">
        <v>0</v>
      </c>
      <c r="K194" s="11">
        <v>28.213201619757211</v>
      </c>
      <c r="L194" s="11">
        <v>20.93633895165053</v>
      </c>
      <c r="M194" s="11">
        <v>73.864623033822284</v>
      </c>
    </row>
    <row r="195" spans="1:13" x14ac:dyDescent="0.25">
      <c r="A195" s="6">
        <v>36</v>
      </c>
      <c r="B195" s="6" t="s">
        <v>214</v>
      </c>
      <c r="C195" s="6" t="s">
        <v>300</v>
      </c>
      <c r="D195" s="6" t="s">
        <v>28</v>
      </c>
      <c r="E195" s="6" t="s">
        <v>35</v>
      </c>
      <c r="F195" s="6" t="s">
        <v>88</v>
      </c>
      <c r="G195" s="10">
        <v>7.3400927521957676E-2</v>
      </c>
      <c r="H195" s="10">
        <v>0.70180496243028956</v>
      </c>
      <c r="I195" s="10">
        <v>4.5554317839269158E-2</v>
      </c>
      <c r="J195" s="10">
        <v>1.402436801450748</v>
      </c>
      <c r="K195" s="10">
        <v>43.073610496415832</v>
      </c>
      <c r="L195" s="10">
        <v>38.728575105778127</v>
      </c>
      <c r="M195" s="10">
        <v>242.43273005286389</v>
      </c>
    </row>
    <row r="196" spans="1:13" x14ac:dyDescent="0.25">
      <c r="A196" s="8">
        <v>36</v>
      </c>
      <c r="B196" s="8" t="s">
        <v>214</v>
      </c>
      <c r="C196" s="8" t="s">
        <v>301</v>
      </c>
      <c r="D196" s="8" t="s">
        <v>28</v>
      </c>
      <c r="E196" s="8" t="s">
        <v>35</v>
      </c>
      <c r="F196" s="8" t="s">
        <v>88</v>
      </c>
      <c r="G196" s="11">
        <v>0</v>
      </c>
      <c r="H196" s="11">
        <v>0.34734042341449439</v>
      </c>
      <c r="I196" s="11">
        <v>0</v>
      </c>
      <c r="J196" s="11">
        <v>0.45457411253170432</v>
      </c>
      <c r="K196" s="11">
        <v>60.408704745590633</v>
      </c>
      <c r="L196" s="11">
        <v>48.510694040374013</v>
      </c>
      <c r="M196" s="11">
        <v>216.86930410634201</v>
      </c>
    </row>
    <row r="197" spans="1:13" x14ac:dyDescent="0.25">
      <c r="A197" s="6">
        <v>39</v>
      </c>
      <c r="B197" s="6" t="s">
        <v>229</v>
      </c>
      <c r="C197" s="6" t="s">
        <v>300</v>
      </c>
      <c r="D197" s="6" t="s">
        <v>28</v>
      </c>
      <c r="E197" s="6" t="s">
        <v>31</v>
      </c>
      <c r="F197" s="6" t="s">
        <v>31</v>
      </c>
      <c r="G197" s="10">
        <v>0.1423627546916193</v>
      </c>
      <c r="H197" s="10">
        <v>0.19087658536061269</v>
      </c>
      <c r="I197" s="10">
        <v>0.1087001286100384</v>
      </c>
      <c r="J197" s="10">
        <v>0.37808500805927941</v>
      </c>
      <c r="K197" s="10">
        <v>67.007992810224437</v>
      </c>
      <c r="L197" s="10">
        <v>52.066282694191528</v>
      </c>
      <c r="M197" s="10">
        <v>205.52161381979761</v>
      </c>
    </row>
    <row r="198" spans="1:13" x14ac:dyDescent="0.25">
      <c r="A198" s="8">
        <v>39</v>
      </c>
      <c r="B198" s="8" t="s">
        <v>229</v>
      </c>
      <c r="C198" s="8" t="s">
        <v>301</v>
      </c>
      <c r="D198" s="8" t="s">
        <v>28</v>
      </c>
      <c r="E198" s="8" t="s">
        <v>31</v>
      </c>
      <c r="F198" s="8" t="s">
        <v>31</v>
      </c>
      <c r="G198" s="11">
        <v>0</v>
      </c>
      <c r="H198" s="11">
        <v>0.90317783554809627</v>
      </c>
      <c r="I198" s="11">
        <v>0.1049872832033934</v>
      </c>
      <c r="J198" s="11">
        <v>0.63732161434013213</v>
      </c>
      <c r="K198" s="11">
        <v>52.912666076357993</v>
      </c>
      <c r="L198" s="11">
        <v>38.055957494648879</v>
      </c>
      <c r="M198" s="11">
        <v>232.43940737094141</v>
      </c>
    </row>
    <row r="199" spans="1:13" x14ac:dyDescent="0.25">
      <c r="A199" s="6">
        <v>40</v>
      </c>
      <c r="B199" s="6" t="s">
        <v>234</v>
      </c>
      <c r="C199" s="6" t="s">
        <v>300</v>
      </c>
      <c r="D199" s="6" t="s">
        <v>28</v>
      </c>
      <c r="E199" s="6" t="s">
        <v>31</v>
      </c>
      <c r="F199" s="6" t="s">
        <v>31</v>
      </c>
      <c r="G199" s="10">
        <v>0.1423627546916193</v>
      </c>
      <c r="H199" s="10">
        <v>0.19087658536061269</v>
      </c>
      <c r="I199" s="10">
        <v>0.1087001286100384</v>
      </c>
      <c r="J199" s="10">
        <v>0.39868431866922599</v>
      </c>
      <c r="K199" s="10">
        <v>67.358249040373622</v>
      </c>
      <c r="L199" s="10">
        <v>52.27381680184341</v>
      </c>
      <c r="M199" s="10">
        <v>205.9508621472857</v>
      </c>
    </row>
    <row r="200" spans="1:13" x14ac:dyDescent="0.25">
      <c r="A200" s="8">
        <v>40</v>
      </c>
      <c r="B200" s="8" t="s">
        <v>234</v>
      </c>
      <c r="C200" s="8" t="s">
        <v>301</v>
      </c>
      <c r="D200" s="8" t="s">
        <v>28</v>
      </c>
      <c r="E200" s="8" t="s">
        <v>31</v>
      </c>
      <c r="F200" s="8" t="s">
        <v>31</v>
      </c>
      <c r="G200" s="11">
        <v>0</v>
      </c>
      <c r="H200" s="11">
        <v>2.1664931883547331E-3</v>
      </c>
      <c r="I200" s="11">
        <v>4.085835435001741E-2</v>
      </c>
      <c r="J200" s="11">
        <v>0.36129624957342932</v>
      </c>
      <c r="K200" s="11">
        <v>42.505617415062652</v>
      </c>
      <c r="L200" s="11">
        <v>30.728695534576911</v>
      </c>
      <c r="M200" s="11">
        <v>252.31347506200601</v>
      </c>
    </row>
    <row r="201" spans="1:13" x14ac:dyDescent="0.25">
      <c r="A201" s="6">
        <v>41</v>
      </c>
      <c r="B201" s="6" t="s">
        <v>238</v>
      </c>
      <c r="C201" s="6" t="s">
        <v>300</v>
      </c>
      <c r="D201" s="6" t="s">
        <v>28</v>
      </c>
      <c r="E201" s="6" t="s">
        <v>31</v>
      </c>
      <c r="F201" s="6" t="s">
        <v>31</v>
      </c>
      <c r="G201" s="10">
        <v>5.2222732101069563E-2</v>
      </c>
      <c r="H201" s="10">
        <v>0.12701409600270411</v>
      </c>
      <c r="I201" s="10">
        <v>3.1548608690509579E-2</v>
      </c>
      <c r="J201" s="10">
        <v>0.16750319091501231</v>
      </c>
      <c r="K201" s="10">
        <v>59.993505539180077</v>
      </c>
      <c r="L201" s="10">
        <v>53.823119668093447</v>
      </c>
      <c r="M201" s="10">
        <v>211.25438556095691</v>
      </c>
    </row>
    <row r="202" spans="1:13" x14ac:dyDescent="0.25">
      <c r="A202" s="8">
        <v>41</v>
      </c>
      <c r="B202" s="8" t="s">
        <v>238</v>
      </c>
      <c r="C202" s="8" t="s">
        <v>301</v>
      </c>
      <c r="D202" s="8" t="s">
        <v>28</v>
      </c>
      <c r="E202" s="8" t="s">
        <v>31</v>
      </c>
      <c r="F202" s="8" t="s">
        <v>31</v>
      </c>
      <c r="G202" s="11">
        <v>0</v>
      </c>
      <c r="H202" s="11">
        <v>0.54761889554039</v>
      </c>
      <c r="I202" s="11">
        <v>5.0473616639224998E-2</v>
      </c>
      <c r="J202" s="11">
        <v>0.94513627935308775</v>
      </c>
      <c r="K202" s="11">
        <v>50.235548888441691</v>
      </c>
      <c r="L202" s="11">
        <v>45.362202854839133</v>
      </c>
      <c r="M202" s="11">
        <v>228.0564978626206</v>
      </c>
    </row>
    <row r="203" spans="1:13" x14ac:dyDescent="0.25">
      <c r="A203" s="6">
        <v>43</v>
      </c>
      <c r="B203" s="6" t="s">
        <v>248</v>
      </c>
      <c r="C203" s="6" t="s">
        <v>300</v>
      </c>
      <c r="D203" s="6" t="s">
        <v>28</v>
      </c>
      <c r="E203" s="6" t="s">
        <v>33</v>
      </c>
      <c r="F203" s="6" t="s">
        <v>33</v>
      </c>
      <c r="G203" s="10">
        <v>0.1119717603069536</v>
      </c>
      <c r="H203" s="10">
        <v>0.2137910036648912</v>
      </c>
      <c r="I203" s="10">
        <v>2.66289259127734E-2</v>
      </c>
      <c r="J203" s="10">
        <v>0.53192012036127867</v>
      </c>
      <c r="K203" s="10">
        <v>67.235218047696108</v>
      </c>
      <c r="L203" s="10">
        <v>56.319756834393488</v>
      </c>
      <c r="M203" s="10">
        <v>197.7381876113653</v>
      </c>
    </row>
    <row r="204" spans="1:13" x14ac:dyDescent="0.25">
      <c r="A204" s="8">
        <v>43</v>
      </c>
      <c r="B204" s="8" t="s">
        <v>248</v>
      </c>
      <c r="C204" s="8" t="s">
        <v>301</v>
      </c>
      <c r="D204" s="8" t="s">
        <v>28</v>
      </c>
      <c r="E204" s="8" t="s">
        <v>33</v>
      </c>
      <c r="F204" s="8" t="s">
        <v>33</v>
      </c>
      <c r="G204" s="11">
        <v>0</v>
      </c>
      <c r="H204" s="11">
        <v>0.45036794227206151</v>
      </c>
      <c r="I204" s="11">
        <v>6.3170939991916364E-2</v>
      </c>
      <c r="J204" s="11">
        <v>0.89965978323865836</v>
      </c>
      <c r="K204" s="11">
        <v>58.376029715565082</v>
      </c>
      <c r="L204" s="11">
        <v>42.972091125409762</v>
      </c>
      <c r="M204" s="11">
        <v>218.8656286111331</v>
      </c>
    </row>
    <row r="205" spans="1:13" x14ac:dyDescent="0.25">
      <c r="A205" s="6">
        <v>44</v>
      </c>
      <c r="B205" s="6" t="s">
        <v>254</v>
      </c>
      <c r="C205" s="6" t="s">
        <v>300</v>
      </c>
      <c r="D205" s="6" t="s">
        <v>28</v>
      </c>
      <c r="E205" s="6" t="s">
        <v>33</v>
      </c>
      <c r="F205" s="6" t="s">
        <v>33</v>
      </c>
      <c r="G205" s="10">
        <v>0</v>
      </c>
      <c r="H205" s="10">
        <v>0.24021946013287521</v>
      </c>
      <c r="I205" s="10">
        <v>0.21586370090681031</v>
      </c>
      <c r="J205" s="10">
        <v>0.59248667710547542</v>
      </c>
      <c r="K205" s="10">
        <v>70.970852140693879</v>
      </c>
      <c r="L205" s="10">
        <v>57.389927718761932</v>
      </c>
      <c r="M205" s="10">
        <v>195.02043862678869</v>
      </c>
    </row>
    <row r="206" spans="1:13" x14ac:dyDescent="0.25">
      <c r="A206" s="8">
        <v>44</v>
      </c>
      <c r="B206" s="8" t="s">
        <v>254</v>
      </c>
      <c r="C206" s="8" t="s">
        <v>301</v>
      </c>
      <c r="D206" s="8" t="s">
        <v>28</v>
      </c>
      <c r="E206" s="8" t="s">
        <v>33</v>
      </c>
      <c r="F206" s="8" t="s">
        <v>33</v>
      </c>
      <c r="G206" s="11">
        <v>0</v>
      </c>
      <c r="H206" s="11">
        <v>0.34786384859507741</v>
      </c>
      <c r="I206" s="11">
        <v>1.27297174998127E-2</v>
      </c>
      <c r="J206" s="11">
        <v>0.4202840859765154</v>
      </c>
      <c r="K206" s="11">
        <v>41.502099869045793</v>
      </c>
      <c r="L206" s="11">
        <v>32.234391519954421</v>
      </c>
      <c r="M206" s="11">
        <v>250.51769768747249</v>
      </c>
    </row>
    <row r="207" spans="1:13" x14ac:dyDescent="0.25">
      <c r="A207" s="6">
        <v>45</v>
      </c>
      <c r="B207" s="6" t="s">
        <v>259</v>
      </c>
      <c r="C207" s="6" t="s">
        <v>300</v>
      </c>
      <c r="D207" s="6" t="s">
        <v>28</v>
      </c>
      <c r="E207" s="6" t="s">
        <v>33</v>
      </c>
      <c r="F207" s="6" t="s">
        <v>33</v>
      </c>
      <c r="G207" s="10">
        <v>0.1119717603069536</v>
      </c>
      <c r="H207" s="10">
        <v>0.2137910036648912</v>
      </c>
      <c r="I207" s="10">
        <v>2.66289259127734E-2</v>
      </c>
      <c r="J207" s="10">
        <v>0.56215733478846408</v>
      </c>
      <c r="K207" s="10">
        <v>67.301100613028154</v>
      </c>
      <c r="L207" s="10">
        <v>56.319756834393488</v>
      </c>
      <c r="M207" s="10">
        <v>197.7381876113653</v>
      </c>
    </row>
    <row r="208" spans="1:13" x14ac:dyDescent="0.25">
      <c r="A208" s="8">
        <v>45</v>
      </c>
      <c r="B208" s="8" t="s">
        <v>259</v>
      </c>
      <c r="C208" s="8" t="s">
        <v>301</v>
      </c>
      <c r="D208" s="8" t="s">
        <v>28</v>
      </c>
      <c r="E208" s="8" t="s">
        <v>33</v>
      </c>
      <c r="F208" s="8" t="s">
        <v>33</v>
      </c>
      <c r="G208" s="11">
        <v>0</v>
      </c>
      <c r="H208" s="11">
        <v>0.44332241051292248</v>
      </c>
      <c r="I208" s="11">
        <v>0.428265735708522</v>
      </c>
      <c r="J208" s="11">
        <v>0.51104472499002784</v>
      </c>
      <c r="K208" s="11">
        <v>36.197264170490961</v>
      </c>
      <c r="L208" s="11">
        <v>28.879561718426849</v>
      </c>
      <c r="M208" s="11">
        <v>256.18752385879287</v>
      </c>
    </row>
    <row r="209" spans="1:13" x14ac:dyDescent="0.25">
      <c r="A209" s="6">
        <v>46</v>
      </c>
      <c r="B209" s="6" t="s">
        <v>263</v>
      </c>
      <c r="C209" s="6" t="s">
        <v>300</v>
      </c>
      <c r="D209" s="6" t="s">
        <v>28</v>
      </c>
      <c r="E209" s="6" t="s">
        <v>33</v>
      </c>
      <c r="F209" s="6" t="s">
        <v>33</v>
      </c>
      <c r="G209" s="10">
        <v>8.8935996553685642E-2</v>
      </c>
      <c r="H209" s="10">
        <v>0.1794253337608642</v>
      </c>
      <c r="I209" s="10">
        <v>5.059730733317578E-2</v>
      </c>
      <c r="J209" s="10">
        <v>0.57665162648251256</v>
      </c>
      <c r="K209" s="10">
        <v>63.807175975714962</v>
      </c>
      <c r="L209" s="10">
        <v>54.004262033049137</v>
      </c>
      <c r="M209" s="10">
        <v>206.22798010798391</v>
      </c>
    </row>
    <row r="210" spans="1:13" x14ac:dyDescent="0.25">
      <c r="A210" s="8">
        <v>46</v>
      </c>
      <c r="B210" s="8" t="s">
        <v>263</v>
      </c>
      <c r="C210" s="8" t="s">
        <v>301</v>
      </c>
      <c r="D210" s="8" t="s">
        <v>28</v>
      </c>
      <c r="E210" s="8" t="s">
        <v>33</v>
      </c>
      <c r="F210" s="8" t="s">
        <v>33</v>
      </c>
      <c r="G210" s="11">
        <v>0</v>
      </c>
      <c r="H210" s="11">
        <v>0.47667835410688608</v>
      </c>
      <c r="I210" s="11">
        <v>1.27297174998127E-2</v>
      </c>
      <c r="J210" s="11">
        <v>0.4202840859765154</v>
      </c>
      <c r="K210" s="11">
        <v>41.502099869045793</v>
      </c>
      <c r="L210" s="11">
        <v>32.504544856726113</v>
      </c>
      <c r="M210" s="11">
        <v>250.81001115689449</v>
      </c>
    </row>
    <row r="211" spans="1:13" x14ac:dyDescent="0.25">
      <c r="A211" s="6">
        <v>47</v>
      </c>
      <c r="B211" s="6" t="s">
        <v>266</v>
      </c>
      <c r="C211" s="6" t="s">
        <v>300</v>
      </c>
      <c r="D211" s="6" t="s">
        <v>28</v>
      </c>
      <c r="E211" s="6" t="s">
        <v>31</v>
      </c>
      <c r="F211" s="6" t="s">
        <v>31</v>
      </c>
      <c r="G211" s="10">
        <v>5.2222732101069563E-2</v>
      </c>
      <c r="H211" s="10">
        <v>0.12701409600270411</v>
      </c>
      <c r="I211" s="10">
        <v>3.1548608690509579E-2</v>
      </c>
      <c r="J211" s="10">
        <v>0.16750319091501231</v>
      </c>
      <c r="K211" s="10">
        <v>59.945805897200891</v>
      </c>
      <c r="L211" s="10">
        <v>53.823119668093447</v>
      </c>
      <c r="M211" s="10">
        <v>211.23443710140779</v>
      </c>
    </row>
    <row r="212" spans="1:13" x14ac:dyDescent="0.25">
      <c r="A212" s="8">
        <v>47</v>
      </c>
      <c r="B212" s="8" t="s">
        <v>266</v>
      </c>
      <c r="C212" s="8" t="s">
        <v>301</v>
      </c>
      <c r="D212" s="8" t="s">
        <v>28</v>
      </c>
      <c r="E212" s="8" t="s">
        <v>31</v>
      </c>
      <c r="F212" s="8" t="s">
        <v>31</v>
      </c>
      <c r="G212" s="11">
        <v>0</v>
      </c>
      <c r="H212" s="11">
        <v>0.90317783554809627</v>
      </c>
      <c r="I212" s="11">
        <v>0.108236844142404</v>
      </c>
      <c r="J212" s="11">
        <v>0.64815348413888652</v>
      </c>
      <c r="K212" s="11">
        <v>52.960680605724093</v>
      </c>
      <c r="L212" s="11">
        <v>38.363873389086699</v>
      </c>
      <c r="M212" s="11">
        <v>232.18900722070151</v>
      </c>
    </row>
    <row r="213" spans="1:13" x14ac:dyDescent="0.25">
      <c r="A213" s="6">
        <v>49</v>
      </c>
      <c r="B213" s="6" t="s">
        <v>273</v>
      </c>
      <c r="C213" s="6" t="s">
        <v>300</v>
      </c>
      <c r="D213" s="6" t="s">
        <v>28</v>
      </c>
      <c r="E213" s="6" t="s">
        <v>33</v>
      </c>
      <c r="F213" s="6" t="s">
        <v>33</v>
      </c>
      <c r="G213" s="10">
        <v>0</v>
      </c>
      <c r="H213" s="10">
        <v>0.24021946013287521</v>
      </c>
      <c r="I213" s="10">
        <v>0.21586370090681031</v>
      </c>
      <c r="J213" s="10">
        <v>0.59248667710547542</v>
      </c>
      <c r="K213" s="10">
        <v>70.784207486832642</v>
      </c>
      <c r="L213" s="10">
        <v>57.217170971545229</v>
      </c>
      <c r="M213" s="10">
        <v>194.703693789026</v>
      </c>
    </row>
    <row r="214" spans="1:13" x14ac:dyDescent="0.25">
      <c r="A214" s="8">
        <v>49</v>
      </c>
      <c r="B214" s="8" t="s">
        <v>273</v>
      </c>
      <c r="C214" s="8" t="s">
        <v>301</v>
      </c>
      <c r="D214" s="8" t="s">
        <v>28</v>
      </c>
      <c r="E214" s="8" t="s">
        <v>33</v>
      </c>
      <c r="F214" s="8" t="s">
        <v>33</v>
      </c>
      <c r="G214" s="11">
        <v>0</v>
      </c>
      <c r="H214" s="11">
        <v>0.4185697978984132</v>
      </c>
      <c r="I214" s="11">
        <v>0.428265735708522</v>
      </c>
      <c r="J214" s="11">
        <v>0.46660244135921242</v>
      </c>
      <c r="K214" s="11">
        <v>35.974181316756393</v>
      </c>
      <c r="L214" s="11">
        <v>28.82664857731616</v>
      </c>
      <c r="M214" s="11">
        <v>258.01087185827743</v>
      </c>
    </row>
    <row r="215" spans="1:13" x14ac:dyDescent="0.25">
      <c r="A215" s="6">
        <v>50</v>
      </c>
      <c r="B215" s="6" t="s">
        <v>277</v>
      </c>
      <c r="C215" s="6" t="s">
        <v>300</v>
      </c>
      <c r="D215" s="6" t="s">
        <v>28</v>
      </c>
      <c r="E215" s="6" t="s">
        <v>33</v>
      </c>
      <c r="F215" s="6" t="s">
        <v>33</v>
      </c>
      <c r="G215" s="10">
        <v>8.8935996553685642E-2</v>
      </c>
      <c r="H215" s="10">
        <v>0.32793162569742029</v>
      </c>
      <c r="I215" s="10">
        <v>7.129119195051567E-2</v>
      </c>
      <c r="J215" s="10">
        <v>0.58798551523868015</v>
      </c>
      <c r="K215" s="10">
        <v>64.436710906579819</v>
      </c>
      <c r="L215" s="10">
        <v>54.476327256366737</v>
      </c>
      <c r="M215" s="10">
        <v>206.47677975070661</v>
      </c>
    </row>
    <row r="216" spans="1:13" x14ac:dyDescent="0.25">
      <c r="A216" s="8">
        <v>50</v>
      </c>
      <c r="B216" s="8" t="s">
        <v>277</v>
      </c>
      <c r="C216" s="8" t="s">
        <v>301</v>
      </c>
      <c r="D216" s="8" t="s">
        <v>28</v>
      </c>
      <c r="E216" s="8" t="s">
        <v>33</v>
      </c>
      <c r="F216" s="8" t="s">
        <v>33</v>
      </c>
      <c r="G216" s="11">
        <v>0</v>
      </c>
      <c r="H216" s="11">
        <v>0.45036794227206151</v>
      </c>
      <c r="I216" s="11">
        <v>6.3170939991916364E-2</v>
      </c>
      <c r="J216" s="11">
        <v>0.93014040423638877</v>
      </c>
      <c r="K216" s="11">
        <v>59.921886497585753</v>
      </c>
      <c r="L216" s="11">
        <v>44.514803191227927</v>
      </c>
      <c r="M216" s="11">
        <v>220.25377341913091</v>
      </c>
    </row>
  </sheetData>
  <autoFilter ref="A136:M216"/>
  <mergeCells count="3">
    <mergeCell ref="A1:R1"/>
    <mergeCell ref="A47:M47"/>
    <mergeCell ref="A133:M133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7" width="22" customWidth="1"/>
    <col min="8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331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</v>
      </c>
      <c r="B5" s="6" t="s">
        <v>75</v>
      </c>
      <c r="C5" s="6" t="s">
        <v>44</v>
      </c>
      <c r="D5" s="6" t="s">
        <v>28</v>
      </c>
      <c r="E5" s="6" t="s">
        <v>35</v>
      </c>
      <c r="F5" s="6" t="s">
        <v>76</v>
      </c>
      <c r="G5" s="6" t="s">
        <v>77</v>
      </c>
      <c r="H5" s="6" t="s">
        <v>78</v>
      </c>
      <c r="I5" s="10">
        <v>305.16658691227991</v>
      </c>
      <c r="J5" s="10">
        <v>310.4742418277487</v>
      </c>
      <c r="K5" s="10">
        <v>343.84039999999999</v>
      </c>
      <c r="L5" s="10">
        <v>311.50751666666667</v>
      </c>
      <c r="M5" s="6" t="s">
        <v>79</v>
      </c>
      <c r="N5" s="6" t="s">
        <v>80</v>
      </c>
      <c r="O5" s="6" t="s">
        <v>81</v>
      </c>
      <c r="P5" s="6" t="s">
        <v>82</v>
      </c>
      <c r="Q5" s="10">
        <v>69.11154120244322</v>
      </c>
      <c r="R5" s="10">
        <v>63.460767866371931</v>
      </c>
    </row>
    <row r="6" spans="1:18" x14ac:dyDescent="0.25">
      <c r="A6" s="8">
        <v>2</v>
      </c>
      <c r="B6" s="8" t="s">
        <v>83</v>
      </c>
      <c r="C6" s="8" t="s">
        <v>44</v>
      </c>
      <c r="D6" s="8" t="s">
        <v>28</v>
      </c>
      <c r="E6" s="8" t="s">
        <v>35</v>
      </c>
      <c r="F6" s="8" t="s">
        <v>76</v>
      </c>
      <c r="G6" s="8" t="s">
        <v>77</v>
      </c>
      <c r="H6" s="8" t="s">
        <v>84</v>
      </c>
      <c r="I6" s="11">
        <v>305.10727765948627</v>
      </c>
      <c r="J6" s="11">
        <v>305.2160753980956</v>
      </c>
      <c r="K6" s="11">
        <v>343.84039999999999</v>
      </c>
      <c r="L6" s="11">
        <v>299.01821666666672</v>
      </c>
      <c r="M6" s="8" t="s">
        <v>79</v>
      </c>
      <c r="N6" s="8" t="s">
        <v>80</v>
      </c>
      <c r="O6" s="8" t="s">
        <v>85</v>
      </c>
      <c r="P6" s="8" t="s">
        <v>86</v>
      </c>
      <c r="Q6" s="11">
        <v>69.098086819344246</v>
      </c>
      <c r="R6" s="11">
        <v>66.422255950595925</v>
      </c>
    </row>
    <row r="7" spans="1:18" x14ac:dyDescent="0.25">
      <c r="A7" s="6">
        <v>3</v>
      </c>
      <c r="B7" s="6" t="s">
        <v>87</v>
      </c>
      <c r="C7" s="6" t="s">
        <v>44</v>
      </c>
      <c r="D7" s="6" t="s">
        <v>28</v>
      </c>
      <c r="E7" s="6" t="s">
        <v>35</v>
      </c>
      <c r="F7" s="6" t="s">
        <v>88</v>
      </c>
      <c r="G7" s="6" t="s">
        <v>89</v>
      </c>
      <c r="H7" s="6" t="s">
        <v>90</v>
      </c>
      <c r="I7" s="10">
        <v>320.33950971072761</v>
      </c>
      <c r="J7" s="10">
        <v>320.68901803404901</v>
      </c>
      <c r="K7" s="10">
        <v>345.61666666666667</v>
      </c>
      <c r="L7" s="10">
        <v>358.39743333333331</v>
      </c>
      <c r="M7" s="6" t="s">
        <v>91</v>
      </c>
      <c r="N7" s="6" t="s">
        <v>92</v>
      </c>
      <c r="O7" s="6" t="s">
        <v>93</v>
      </c>
      <c r="P7" s="6" t="s">
        <v>94</v>
      </c>
      <c r="Q7" s="10">
        <v>64.616756627859615</v>
      </c>
      <c r="R7" s="10">
        <v>59.679115606607731</v>
      </c>
    </row>
    <row r="8" spans="1:18" x14ac:dyDescent="0.25">
      <c r="A8" s="8">
        <v>4</v>
      </c>
      <c r="B8" s="8" t="s">
        <v>95</v>
      </c>
      <c r="C8" s="8" t="s">
        <v>42</v>
      </c>
      <c r="D8" s="8" t="s">
        <v>28</v>
      </c>
      <c r="E8" s="8" t="s">
        <v>29</v>
      </c>
      <c r="F8" s="8" t="s">
        <v>96</v>
      </c>
      <c r="G8" s="8" t="s">
        <v>97</v>
      </c>
      <c r="H8" s="8" t="s">
        <v>97</v>
      </c>
      <c r="I8" s="11">
        <v>148.19876902377749</v>
      </c>
      <c r="J8" s="11">
        <v>148.1254196841063</v>
      </c>
      <c r="K8" s="11">
        <v>240.44363333333331</v>
      </c>
      <c r="L8" s="11">
        <v>274.35000000000002</v>
      </c>
      <c r="M8" s="8" t="s">
        <v>98</v>
      </c>
      <c r="N8" s="8" t="s">
        <v>99</v>
      </c>
      <c r="O8" s="8" t="s">
        <v>100</v>
      </c>
      <c r="P8" s="8" t="s">
        <v>101</v>
      </c>
      <c r="Q8" s="11">
        <v>42.808105641290943</v>
      </c>
      <c r="R8" s="11">
        <v>44.784536201483498</v>
      </c>
    </row>
    <row r="9" spans="1:18" x14ac:dyDescent="0.25">
      <c r="A9" s="6">
        <v>5</v>
      </c>
      <c r="B9" s="6" t="s">
        <v>102</v>
      </c>
      <c r="C9" s="6" t="s">
        <v>44</v>
      </c>
      <c r="D9" s="6" t="s">
        <v>28</v>
      </c>
      <c r="E9" s="6" t="s">
        <v>29</v>
      </c>
      <c r="F9" s="6" t="s">
        <v>96</v>
      </c>
      <c r="G9" s="6" t="s">
        <v>97</v>
      </c>
      <c r="H9" s="6" t="s">
        <v>103</v>
      </c>
      <c r="I9" s="10">
        <v>141.62200313375999</v>
      </c>
      <c r="J9" s="10">
        <v>141.6711046862772</v>
      </c>
      <c r="K9" s="10">
        <v>209.59191666666669</v>
      </c>
      <c r="L9" s="10">
        <v>221.15</v>
      </c>
      <c r="M9" s="6" t="s">
        <v>104</v>
      </c>
      <c r="N9" s="6" t="s">
        <v>105</v>
      </c>
      <c r="O9" s="6" t="s">
        <v>106</v>
      </c>
      <c r="P9" s="6" t="s">
        <v>107</v>
      </c>
      <c r="Q9" s="10">
        <v>47.253841991330667</v>
      </c>
      <c r="R9" s="10">
        <v>44.821614085784937</v>
      </c>
    </row>
    <row r="10" spans="1:18" x14ac:dyDescent="0.25">
      <c r="A10" s="8">
        <v>6</v>
      </c>
      <c r="B10" s="8" t="s">
        <v>108</v>
      </c>
      <c r="C10" s="8" t="s">
        <v>44</v>
      </c>
      <c r="D10" s="8" t="s">
        <v>28</v>
      </c>
      <c r="E10" s="8" t="s">
        <v>29</v>
      </c>
      <c r="F10" s="8" t="s">
        <v>96</v>
      </c>
      <c r="G10" s="8" t="s">
        <v>103</v>
      </c>
      <c r="H10" s="8" t="s">
        <v>97</v>
      </c>
      <c r="I10" s="11">
        <v>148.20841194532801</v>
      </c>
      <c r="J10" s="11">
        <v>148.15021957391201</v>
      </c>
      <c r="K10" s="11">
        <v>221.51708333333329</v>
      </c>
      <c r="L10" s="11">
        <v>274.35000000000002</v>
      </c>
      <c r="M10" s="8" t="s">
        <v>109</v>
      </c>
      <c r="N10" s="8" t="s">
        <v>110</v>
      </c>
      <c r="O10" s="8" t="s">
        <v>100</v>
      </c>
      <c r="P10" s="8" t="s">
        <v>101</v>
      </c>
      <c r="Q10" s="11">
        <v>49.306618200865557</v>
      </c>
      <c r="R10" s="11">
        <v>44.79217019920052</v>
      </c>
    </row>
    <row r="11" spans="1:18" x14ac:dyDescent="0.25">
      <c r="A11" s="6">
        <v>7</v>
      </c>
      <c r="B11" s="6" t="s">
        <v>111</v>
      </c>
      <c r="C11" s="6" t="s">
        <v>44</v>
      </c>
      <c r="D11" s="6" t="s">
        <v>28</v>
      </c>
      <c r="E11" s="6" t="s">
        <v>29</v>
      </c>
      <c r="F11" s="6" t="s">
        <v>96</v>
      </c>
      <c r="G11" s="6" t="s">
        <v>97</v>
      </c>
      <c r="H11" s="6" t="s">
        <v>112</v>
      </c>
      <c r="I11" s="10">
        <v>146.1103622297162</v>
      </c>
      <c r="J11" s="10">
        <v>146.19417039093929</v>
      </c>
      <c r="K11" s="10">
        <v>232.89156666666659</v>
      </c>
      <c r="L11" s="10">
        <v>269.21666666666658</v>
      </c>
      <c r="M11" s="6" t="s">
        <v>113</v>
      </c>
      <c r="N11" s="6" t="s">
        <v>114</v>
      </c>
      <c r="O11" s="6" t="s">
        <v>115</v>
      </c>
      <c r="P11" s="6" t="s">
        <v>116</v>
      </c>
      <c r="Q11" s="10">
        <v>44.761538696895471</v>
      </c>
      <c r="R11" s="10">
        <v>44.849027767870119</v>
      </c>
    </row>
    <row r="12" spans="1:18" x14ac:dyDescent="0.25">
      <c r="A12" s="8">
        <v>8</v>
      </c>
      <c r="B12" s="8" t="s">
        <v>117</v>
      </c>
      <c r="C12" s="8" t="s">
        <v>44</v>
      </c>
      <c r="D12" s="8" t="s">
        <v>28</v>
      </c>
      <c r="E12" s="8" t="s">
        <v>29</v>
      </c>
      <c r="F12" s="8" t="s">
        <v>96</v>
      </c>
      <c r="G12" s="8" t="s">
        <v>112</v>
      </c>
      <c r="H12" s="8" t="s">
        <v>97</v>
      </c>
      <c r="I12" s="11">
        <v>147.80638088976619</v>
      </c>
      <c r="J12" s="11">
        <v>147.73470822438651</v>
      </c>
      <c r="K12" s="11">
        <v>199.78013333333331</v>
      </c>
      <c r="L12" s="11">
        <v>272.70876666666669</v>
      </c>
      <c r="M12" s="8" t="s">
        <v>118</v>
      </c>
      <c r="N12" s="8" t="s">
        <v>119</v>
      </c>
      <c r="O12" s="8" t="s">
        <v>120</v>
      </c>
      <c r="P12" s="8" t="s">
        <v>101</v>
      </c>
      <c r="Q12" s="11">
        <v>48.109431090638452</v>
      </c>
      <c r="R12" s="11">
        <v>45.043540593222318</v>
      </c>
    </row>
    <row r="13" spans="1:18" x14ac:dyDescent="0.25">
      <c r="A13" s="6">
        <v>9</v>
      </c>
      <c r="B13" s="6" t="s">
        <v>121</v>
      </c>
      <c r="C13" s="6" t="s">
        <v>44</v>
      </c>
      <c r="D13" s="6" t="s">
        <v>28</v>
      </c>
      <c r="E13" s="6" t="s">
        <v>29</v>
      </c>
      <c r="F13" s="6" t="s">
        <v>96</v>
      </c>
      <c r="G13" s="6" t="s">
        <v>97</v>
      </c>
      <c r="H13" s="6" t="s">
        <v>122</v>
      </c>
      <c r="I13" s="10">
        <v>153.53484415159559</v>
      </c>
      <c r="J13" s="10">
        <v>153.5526617847118</v>
      </c>
      <c r="K13" s="10">
        <v>299.50470000000001</v>
      </c>
      <c r="L13" s="10">
        <v>285.56666666666672</v>
      </c>
      <c r="M13" s="6" t="s">
        <v>123</v>
      </c>
      <c r="N13" s="6" t="s">
        <v>105</v>
      </c>
      <c r="O13" s="6" t="s">
        <v>124</v>
      </c>
      <c r="P13" s="6" t="s">
        <v>125</v>
      </c>
      <c r="Q13" s="10">
        <v>41.136903244122031</v>
      </c>
      <c r="R13" s="10">
        <v>41.353121466683596</v>
      </c>
    </row>
    <row r="14" spans="1:18" x14ac:dyDescent="0.25">
      <c r="A14" s="8">
        <v>10</v>
      </c>
      <c r="B14" s="8" t="s">
        <v>126</v>
      </c>
      <c r="C14" s="8" t="s">
        <v>44</v>
      </c>
      <c r="D14" s="8" t="s">
        <v>28</v>
      </c>
      <c r="E14" s="8" t="s">
        <v>29</v>
      </c>
      <c r="F14" s="8" t="s">
        <v>96</v>
      </c>
      <c r="G14" s="8" t="s">
        <v>122</v>
      </c>
      <c r="H14" s="8" t="s">
        <v>97</v>
      </c>
      <c r="I14" s="11">
        <v>148.4081122812309</v>
      </c>
      <c r="J14" s="11">
        <v>148.16934205197421</v>
      </c>
      <c r="K14" s="11">
        <v>247.26765</v>
      </c>
      <c r="L14" s="11">
        <v>274.35000000000002</v>
      </c>
      <c r="M14" s="8" t="s">
        <v>127</v>
      </c>
      <c r="N14" s="8" t="s">
        <v>128</v>
      </c>
      <c r="O14" s="8" t="s">
        <v>100</v>
      </c>
      <c r="P14" s="8" t="s">
        <v>101</v>
      </c>
      <c r="Q14" s="11">
        <v>47.637753211593449</v>
      </c>
      <c r="R14" s="11">
        <v>44.798056554140558</v>
      </c>
    </row>
    <row r="15" spans="1:18" x14ac:dyDescent="0.25">
      <c r="A15" s="6">
        <v>11</v>
      </c>
      <c r="B15" s="6" t="s">
        <v>129</v>
      </c>
      <c r="C15" s="6" t="s">
        <v>42</v>
      </c>
      <c r="D15" s="6" t="s">
        <v>28</v>
      </c>
      <c r="E15" s="6" t="s">
        <v>29</v>
      </c>
      <c r="F15" s="6" t="s">
        <v>130</v>
      </c>
      <c r="G15" s="6" t="s">
        <v>131</v>
      </c>
      <c r="H15" s="6" t="s">
        <v>131</v>
      </c>
      <c r="I15" s="10">
        <v>143.67832745765901</v>
      </c>
      <c r="J15" s="10">
        <v>143.70610311558761</v>
      </c>
      <c r="K15" s="10">
        <v>241.37365</v>
      </c>
      <c r="L15" s="10">
        <v>241.6157666666667</v>
      </c>
      <c r="M15" s="6" t="s">
        <v>132</v>
      </c>
      <c r="N15" s="6" t="s">
        <v>133</v>
      </c>
      <c r="O15" s="6" t="s">
        <v>134</v>
      </c>
      <c r="P15" s="6" t="s">
        <v>135</v>
      </c>
      <c r="Q15" s="10">
        <v>44.633872553714347</v>
      </c>
      <c r="R15" s="10">
        <v>42.341883574137007</v>
      </c>
    </row>
    <row r="16" spans="1:18" x14ac:dyDescent="0.25">
      <c r="A16" s="8">
        <v>12</v>
      </c>
      <c r="B16" s="8" t="s">
        <v>136</v>
      </c>
      <c r="C16" s="8" t="s">
        <v>44</v>
      </c>
      <c r="D16" s="8" t="s">
        <v>28</v>
      </c>
      <c r="E16" s="8" t="s">
        <v>29</v>
      </c>
      <c r="F16" s="8" t="s">
        <v>130</v>
      </c>
      <c r="G16" s="8" t="s">
        <v>131</v>
      </c>
      <c r="H16" s="8" t="s">
        <v>137</v>
      </c>
      <c r="I16" s="11">
        <v>136.6906978560236</v>
      </c>
      <c r="J16" s="11">
        <v>137.9070606846193</v>
      </c>
      <c r="K16" s="11">
        <v>199.88373333333331</v>
      </c>
      <c r="L16" s="11">
        <v>231.8833333333333</v>
      </c>
      <c r="M16" s="8" t="s">
        <v>132</v>
      </c>
      <c r="N16" s="8" t="s">
        <v>138</v>
      </c>
      <c r="O16" s="8" t="s">
        <v>139</v>
      </c>
      <c r="P16" s="8" t="s">
        <v>140</v>
      </c>
      <c r="Q16" s="11">
        <v>48.732283159784458</v>
      </c>
      <c r="R16" s="11">
        <v>40.295521200628478</v>
      </c>
    </row>
    <row r="17" spans="1:18" x14ac:dyDescent="0.25">
      <c r="A17" s="6">
        <v>13</v>
      </c>
      <c r="B17" s="6" t="s">
        <v>141</v>
      </c>
      <c r="C17" s="6" t="s">
        <v>44</v>
      </c>
      <c r="D17" s="6" t="s">
        <v>28</v>
      </c>
      <c r="E17" s="6" t="s">
        <v>29</v>
      </c>
      <c r="F17" s="6" t="s">
        <v>130</v>
      </c>
      <c r="G17" s="6" t="s">
        <v>137</v>
      </c>
      <c r="H17" s="6" t="s">
        <v>131</v>
      </c>
      <c r="I17" s="10">
        <v>144.86907862959839</v>
      </c>
      <c r="J17" s="10">
        <v>143.72466993648419</v>
      </c>
      <c r="K17" s="10">
        <v>251.7108833333333</v>
      </c>
      <c r="L17" s="10">
        <v>241.6157666666667</v>
      </c>
      <c r="M17" s="6" t="s">
        <v>142</v>
      </c>
      <c r="N17" s="6" t="s">
        <v>143</v>
      </c>
      <c r="O17" s="6" t="s">
        <v>134</v>
      </c>
      <c r="P17" s="6" t="s">
        <v>135</v>
      </c>
      <c r="Q17" s="10">
        <v>40.963129251036513</v>
      </c>
      <c r="R17" s="10">
        <v>42.341899372018943</v>
      </c>
    </row>
    <row r="18" spans="1:18" x14ac:dyDescent="0.25">
      <c r="A18" s="8">
        <v>14</v>
      </c>
      <c r="B18" s="8" t="s">
        <v>144</v>
      </c>
      <c r="C18" s="8" t="s">
        <v>44</v>
      </c>
      <c r="D18" s="8" t="s">
        <v>28</v>
      </c>
      <c r="E18" s="8" t="s">
        <v>29</v>
      </c>
      <c r="F18" s="8" t="s">
        <v>130</v>
      </c>
      <c r="G18" s="8" t="s">
        <v>131</v>
      </c>
      <c r="H18" s="8" t="s">
        <v>145</v>
      </c>
      <c r="I18" s="11">
        <v>123.91859568577109</v>
      </c>
      <c r="J18" s="11">
        <v>123.941936072907</v>
      </c>
      <c r="K18" s="11">
        <v>205.75388333333331</v>
      </c>
      <c r="L18" s="11">
        <v>194.95840000000001</v>
      </c>
      <c r="M18" s="8" t="s">
        <v>146</v>
      </c>
      <c r="N18" s="8" t="s">
        <v>147</v>
      </c>
      <c r="O18" s="8" t="s">
        <v>148</v>
      </c>
      <c r="P18" s="8" t="s">
        <v>149</v>
      </c>
      <c r="Q18" s="11">
        <v>44.923872976769658</v>
      </c>
      <c r="R18" s="11">
        <v>42.762032180854042</v>
      </c>
    </row>
    <row r="19" spans="1:18" x14ac:dyDescent="0.25">
      <c r="A19" s="6">
        <v>15</v>
      </c>
      <c r="B19" s="6" t="s">
        <v>150</v>
      </c>
      <c r="C19" s="6" t="s">
        <v>44</v>
      </c>
      <c r="D19" s="6" t="s">
        <v>28</v>
      </c>
      <c r="E19" s="6" t="s">
        <v>29</v>
      </c>
      <c r="F19" s="6" t="s">
        <v>130</v>
      </c>
      <c r="G19" s="6" t="s">
        <v>145</v>
      </c>
      <c r="H19" s="6" t="s">
        <v>131</v>
      </c>
      <c r="I19" s="10">
        <v>143.71555961314201</v>
      </c>
      <c r="J19" s="10">
        <v>143.70301098845081</v>
      </c>
      <c r="K19" s="10">
        <v>223.04198333333329</v>
      </c>
      <c r="L19" s="10">
        <v>241.6157666666667</v>
      </c>
      <c r="M19" s="6" t="s">
        <v>151</v>
      </c>
      <c r="N19" s="6" t="s">
        <v>152</v>
      </c>
      <c r="O19" s="6" t="s">
        <v>134</v>
      </c>
      <c r="P19" s="6" t="s">
        <v>135</v>
      </c>
      <c r="Q19" s="10">
        <v>46.2946098216972</v>
      </c>
      <c r="R19" s="10">
        <v>42.341452090744298</v>
      </c>
    </row>
    <row r="20" spans="1:18" x14ac:dyDescent="0.25">
      <c r="A20" s="8">
        <v>16</v>
      </c>
      <c r="B20" s="8" t="s">
        <v>153</v>
      </c>
      <c r="C20" s="8" t="s">
        <v>44</v>
      </c>
      <c r="D20" s="8" t="s">
        <v>28</v>
      </c>
      <c r="E20" s="8" t="s">
        <v>29</v>
      </c>
      <c r="F20" s="8" t="s">
        <v>130</v>
      </c>
      <c r="G20" s="8" t="s">
        <v>131</v>
      </c>
      <c r="H20" s="8" t="s">
        <v>154</v>
      </c>
      <c r="I20" s="11">
        <v>152.2392917821083</v>
      </c>
      <c r="J20" s="11">
        <v>153.94759024770309</v>
      </c>
      <c r="K20" s="11">
        <v>276.10219999999998</v>
      </c>
      <c r="L20" s="11">
        <v>291.35971666666671</v>
      </c>
      <c r="M20" s="8" t="s">
        <v>132</v>
      </c>
      <c r="N20" s="8" t="s">
        <v>155</v>
      </c>
      <c r="O20" s="8" t="s">
        <v>156</v>
      </c>
      <c r="P20" s="8" t="s">
        <v>157</v>
      </c>
      <c r="Q20" s="11">
        <v>40.355745492660311</v>
      </c>
      <c r="R20" s="11">
        <v>36.021923037796739</v>
      </c>
    </row>
    <row r="21" spans="1:18" x14ac:dyDescent="0.25">
      <c r="A21" s="6">
        <v>17</v>
      </c>
      <c r="B21" s="6" t="s">
        <v>158</v>
      </c>
      <c r="C21" s="6" t="s">
        <v>44</v>
      </c>
      <c r="D21" s="6" t="s">
        <v>28</v>
      </c>
      <c r="E21" s="6" t="s">
        <v>29</v>
      </c>
      <c r="F21" s="6" t="s">
        <v>130</v>
      </c>
      <c r="G21" s="6" t="s">
        <v>154</v>
      </c>
      <c r="H21" s="6" t="s">
        <v>131</v>
      </c>
      <c r="I21" s="10">
        <v>145.59876206835349</v>
      </c>
      <c r="J21" s="10">
        <v>143.81943712107361</v>
      </c>
      <c r="K21" s="10">
        <v>242.58760000000001</v>
      </c>
      <c r="L21" s="10">
        <v>242.52818333333329</v>
      </c>
      <c r="M21" s="6" t="s">
        <v>159</v>
      </c>
      <c r="N21" s="6" t="s">
        <v>160</v>
      </c>
      <c r="O21" s="6" t="s">
        <v>134</v>
      </c>
      <c r="P21" s="6" t="s">
        <v>161</v>
      </c>
      <c r="Q21" s="10">
        <v>44.70287136285296</v>
      </c>
      <c r="R21" s="10">
        <v>42.185773980476462</v>
      </c>
    </row>
    <row r="22" spans="1:18" x14ac:dyDescent="0.25">
      <c r="A22" s="8">
        <v>18</v>
      </c>
      <c r="B22" s="8" t="s">
        <v>162</v>
      </c>
      <c r="C22" s="8" t="s">
        <v>42</v>
      </c>
      <c r="D22" s="8" t="s">
        <v>28</v>
      </c>
      <c r="E22" s="8" t="s">
        <v>29</v>
      </c>
      <c r="F22" s="8" t="s">
        <v>96</v>
      </c>
      <c r="G22" s="8" t="s">
        <v>103</v>
      </c>
      <c r="H22" s="8" t="s">
        <v>103</v>
      </c>
      <c r="I22" s="11">
        <v>141.5990549680233</v>
      </c>
      <c r="J22" s="11">
        <v>141.66630570695861</v>
      </c>
      <c r="K22" s="11">
        <v>205.6434166666667</v>
      </c>
      <c r="L22" s="11">
        <v>221.15</v>
      </c>
      <c r="M22" s="8" t="s">
        <v>163</v>
      </c>
      <c r="N22" s="8" t="s">
        <v>164</v>
      </c>
      <c r="O22" s="8" t="s">
        <v>106</v>
      </c>
      <c r="P22" s="8" t="s">
        <v>107</v>
      </c>
      <c r="Q22" s="11">
        <v>51.089288821174947</v>
      </c>
      <c r="R22" s="11">
        <v>44.820093416341507</v>
      </c>
    </row>
    <row r="23" spans="1:18" x14ac:dyDescent="0.25">
      <c r="A23" s="6">
        <v>19</v>
      </c>
      <c r="B23" s="6" t="s">
        <v>165</v>
      </c>
      <c r="C23" s="6" t="s">
        <v>44</v>
      </c>
      <c r="D23" s="6" t="s">
        <v>28</v>
      </c>
      <c r="E23" s="6" t="s">
        <v>29</v>
      </c>
      <c r="F23" s="6" t="s">
        <v>96</v>
      </c>
      <c r="G23" s="6" t="s">
        <v>103</v>
      </c>
      <c r="H23" s="6" t="s">
        <v>112</v>
      </c>
      <c r="I23" s="10">
        <v>146.11778022672581</v>
      </c>
      <c r="J23" s="10">
        <v>146.22654761738161</v>
      </c>
      <c r="K23" s="10">
        <v>219.93658333333329</v>
      </c>
      <c r="L23" s="10">
        <v>269.21666666666658</v>
      </c>
      <c r="M23" s="6" t="s">
        <v>166</v>
      </c>
      <c r="N23" s="6" t="s">
        <v>167</v>
      </c>
      <c r="O23" s="6" t="s">
        <v>115</v>
      </c>
      <c r="P23" s="6" t="s">
        <v>116</v>
      </c>
      <c r="Q23" s="10">
        <v>48.977517926050687</v>
      </c>
      <c r="R23" s="10">
        <v>44.857641693697801</v>
      </c>
    </row>
    <row r="24" spans="1:18" x14ac:dyDescent="0.25">
      <c r="A24" s="8">
        <v>20</v>
      </c>
      <c r="B24" s="8" t="s">
        <v>168</v>
      </c>
      <c r="C24" s="8" t="s">
        <v>44</v>
      </c>
      <c r="D24" s="8" t="s">
        <v>28</v>
      </c>
      <c r="E24" s="8" t="s">
        <v>29</v>
      </c>
      <c r="F24" s="8" t="s">
        <v>96</v>
      </c>
      <c r="G24" s="8" t="s">
        <v>112</v>
      </c>
      <c r="H24" s="8" t="s">
        <v>103</v>
      </c>
      <c r="I24" s="11">
        <v>141.7178099447946</v>
      </c>
      <c r="J24" s="11">
        <v>141.71372942643819</v>
      </c>
      <c r="K24" s="11">
        <v>186.11555000000001</v>
      </c>
      <c r="L24" s="11">
        <v>221.15</v>
      </c>
      <c r="M24" s="8" t="s">
        <v>169</v>
      </c>
      <c r="N24" s="8" t="s">
        <v>170</v>
      </c>
      <c r="O24" s="8" t="s">
        <v>106</v>
      </c>
      <c r="P24" s="8" t="s">
        <v>107</v>
      </c>
      <c r="Q24" s="11">
        <v>48.979847646940023</v>
      </c>
      <c r="R24" s="11">
        <v>44.835120737011053</v>
      </c>
    </row>
    <row r="25" spans="1:18" x14ac:dyDescent="0.25">
      <c r="A25" s="6">
        <v>21</v>
      </c>
      <c r="B25" s="6" t="s">
        <v>171</v>
      </c>
      <c r="C25" s="6" t="s">
        <v>44</v>
      </c>
      <c r="D25" s="6" t="s">
        <v>28</v>
      </c>
      <c r="E25" s="6" t="s">
        <v>29</v>
      </c>
      <c r="F25" s="6" t="s">
        <v>96</v>
      </c>
      <c r="G25" s="6" t="s">
        <v>103</v>
      </c>
      <c r="H25" s="6" t="s">
        <v>122</v>
      </c>
      <c r="I25" s="10">
        <v>153.5802936448807</v>
      </c>
      <c r="J25" s="10">
        <v>153.58803621196651</v>
      </c>
      <c r="K25" s="10">
        <v>235.73150000000001</v>
      </c>
      <c r="L25" s="10">
        <v>285.56666666666672</v>
      </c>
      <c r="M25" s="6" t="s">
        <v>172</v>
      </c>
      <c r="N25" s="6" t="s">
        <v>164</v>
      </c>
      <c r="O25" s="6" t="s">
        <v>124</v>
      </c>
      <c r="P25" s="6" t="s">
        <v>125</v>
      </c>
      <c r="Q25" s="10">
        <v>47.722150024085572</v>
      </c>
      <c r="R25" s="10">
        <v>41.362781478677611</v>
      </c>
    </row>
    <row r="26" spans="1:18" x14ac:dyDescent="0.25">
      <c r="A26" s="8">
        <v>22</v>
      </c>
      <c r="B26" s="8" t="s">
        <v>173</v>
      </c>
      <c r="C26" s="8" t="s">
        <v>44</v>
      </c>
      <c r="D26" s="8" t="s">
        <v>28</v>
      </c>
      <c r="E26" s="8" t="s">
        <v>29</v>
      </c>
      <c r="F26" s="8" t="s">
        <v>96</v>
      </c>
      <c r="G26" s="8" t="s">
        <v>122</v>
      </c>
      <c r="H26" s="8" t="s">
        <v>103</v>
      </c>
      <c r="I26" s="11">
        <v>141.83173688616381</v>
      </c>
      <c r="J26" s="11">
        <v>141.67339805160449</v>
      </c>
      <c r="K26" s="11">
        <v>221.1224333333333</v>
      </c>
      <c r="L26" s="11">
        <v>221.15</v>
      </c>
      <c r="M26" s="8" t="s">
        <v>174</v>
      </c>
      <c r="N26" s="8" t="s">
        <v>175</v>
      </c>
      <c r="O26" s="8" t="s">
        <v>106</v>
      </c>
      <c r="P26" s="8" t="s">
        <v>107</v>
      </c>
      <c r="Q26" s="11">
        <v>49.270305864703857</v>
      </c>
      <c r="R26" s="11">
        <v>44.822340792516592</v>
      </c>
    </row>
    <row r="27" spans="1:18" x14ac:dyDescent="0.25">
      <c r="A27" s="6">
        <v>23</v>
      </c>
      <c r="B27" s="6" t="s">
        <v>176</v>
      </c>
      <c r="C27" s="6" t="s">
        <v>42</v>
      </c>
      <c r="D27" s="6" t="s">
        <v>28</v>
      </c>
      <c r="E27" s="6" t="s">
        <v>29</v>
      </c>
      <c r="F27" s="6" t="s">
        <v>130</v>
      </c>
      <c r="G27" s="6" t="s">
        <v>137</v>
      </c>
      <c r="H27" s="6" t="s">
        <v>137</v>
      </c>
      <c r="I27" s="10">
        <v>137.84785127876921</v>
      </c>
      <c r="J27" s="10">
        <v>137.9112374368539</v>
      </c>
      <c r="K27" s="10">
        <v>223.05115000000001</v>
      </c>
      <c r="L27" s="10">
        <v>231.8833333333333</v>
      </c>
      <c r="M27" s="6" t="s">
        <v>142</v>
      </c>
      <c r="N27" s="6" t="s">
        <v>177</v>
      </c>
      <c r="O27" s="6" t="s">
        <v>139</v>
      </c>
      <c r="P27" s="6" t="s">
        <v>140</v>
      </c>
      <c r="Q27" s="10">
        <v>43.489208200130058</v>
      </c>
      <c r="R27" s="10">
        <v>40.29129762507425</v>
      </c>
    </row>
    <row r="28" spans="1:18" x14ac:dyDescent="0.25">
      <c r="A28" s="8">
        <v>24</v>
      </c>
      <c r="B28" s="8" t="s">
        <v>178</v>
      </c>
      <c r="C28" s="8" t="s">
        <v>44</v>
      </c>
      <c r="D28" s="8" t="s">
        <v>28</v>
      </c>
      <c r="E28" s="8" t="s">
        <v>29</v>
      </c>
      <c r="F28" s="8" t="s">
        <v>130</v>
      </c>
      <c r="G28" s="8" t="s">
        <v>137</v>
      </c>
      <c r="H28" s="8" t="s">
        <v>145</v>
      </c>
      <c r="I28" s="11">
        <v>125.021511754306</v>
      </c>
      <c r="J28" s="11">
        <v>123.8871365945718</v>
      </c>
      <c r="K28" s="11">
        <v>207.13586666666669</v>
      </c>
      <c r="L28" s="11">
        <v>194.5326</v>
      </c>
      <c r="M28" s="8" t="s">
        <v>179</v>
      </c>
      <c r="N28" s="8" t="s">
        <v>143</v>
      </c>
      <c r="O28" s="8" t="s">
        <v>148</v>
      </c>
      <c r="P28" s="8" t="s">
        <v>180</v>
      </c>
      <c r="Q28" s="11">
        <v>41.521588856960847</v>
      </c>
      <c r="R28" s="11">
        <v>42.835212207537772</v>
      </c>
    </row>
    <row r="29" spans="1:18" x14ac:dyDescent="0.25">
      <c r="A29" s="6">
        <v>25</v>
      </c>
      <c r="B29" s="6" t="s">
        <v>181</v>
      </c>
      <c r="C29" s="6" t="s">
        <v>44</v>
      </c>
      <c r="D29" s="6" t="s">
        <v>28</v>
      </c>
      <c r="E29" s="6" t="s">
        <v>29</v>
      </c>
      <c r="F29" s="6" t="s">
        <v>130</v>
      </c>
      <c r="G29" s="6" t="s">
        <v>145</v>
      </c>
      <c r="H29" s="6" t="s">
        <v>137</v>
      </c>
      <c r="I29" s="10">
        <v>136.71688857972779</v>
      </c>
      <c r="J29" s="10">
        <v>137.90825458617789</v>
      </c>
      <c r="K29" s="10">
        <v>189.99105</v>
      </c>
      <c r="L29" s="10">
        <v>231.8833333333333</v>
      </c>
      <c r="M29" s="6" t="s">
        <v>151</v>
      </c>
      <c r="N29" s="6" t="s">
        <v>182</v>
      </c>
      <c r="O29" s="6" t="s">
        <v>139</v>
      </c>
      <c r="P29" s="6" t="s">
        <v>140</v>
      </c>
      <c r="Q29" s="10">
        <v>50.214719327104461</v>
      </c>
      <c r="R29" s="10">
        <v>40.296367138208907</v>
      </c>
    </row>
    <row r="30" spans="1:18" x14ac:dyDescent="0.25">
      <c r="A30" s="8">
        <v>26</v>
      </c>
      <c r="B30" s="8" t="s">
        <v>183</v>
      </c>
      <c r="C30" s="8" t="s">
        <v>44</v>
      </c>
      <c r="D30" s="8" t="s">
        <v>28</v>
      </c>
      <c r="E30" s="8" t="s">
        <v>29</v>
      </c>
      <c r="F30" s="8" t="s">
        <v>130</v>
      </c>
      <c r="G30" s="8" t="s">
        <v>137</v>
      </c>
      <c r="H30" s="8" t="s">
        <v>154</v>
      </c>
      <c r="I30" s="11">
        <v>153.3729275658394</v>
      </c>
      <c r="J30" s="11">
        <v>154.06343517645311</v>
      </c>
      <c r="K30" s="11">
        <v>281.08690000000001</v>
      </c>
      <c r="L30" s="11">
        <v>291.75</v>
      </c>
      <c r="M30" s="8" t="s">
        <v>142</v>
      </c>
      <c r="N30" s="8" t="s">
        <v>184</v>
      </c>
      <c r="O30" s="8" t="s">
        <v>156</v>
      </c>
      <c r="P30" s="8" t="s">
        <v>185</v>
      </c>
      <c r="Q30" s="11">
        <v>38.128965801600678</v>
      </c>
      <c r="R30" s="11">
        <v>35.989741808256568</v>
      </c>
    </row>
    <row r="31" spans="1:18" x14ac:dyDescent="0.25">
      <c r="A31" s="6">
        <v>27</v>
      </c>
      <c r="B31" s="6" t="s">
        <v>186</v>
      </c>
      <c r="C31" s="6" t="s">
        <v>44</v>
      </c>
      <c r="D31" s="6" t="s">
        <v>28</v>
      </c>
      <c r="E31" s="6" t="s">
        <v>29</v>
      </c>
      <c r="F31" s="6" t="s">
        <v>130</v>
      </c>
      <c r="G31" s="6" t="s">
        <v>154</v>
      </c>
      <c r="H31" s="6" t="s">
        <v>137</v>
      </c>
      <c r="I31" s="10">
        <v>138.2944646000696</v>
      </c>
      <c r="J31" s="10">
        <v>137.8693466671948</v>
      </c>
      <c r="K31" s="10">
        <v>219.90880000000001</v>
      </c>
      <c r="L31" s="10">
        <v>231.8833333333333</v>
      </c>
      <c r="M31" s="6" t="s">
        <v>159</v>
      </c>
      <c r="N31" s="6" t="s">
        <v>187</v>
      </c>
      <c r="O31" s="6" t="s">
        <v>139</v>
      </c>
      <c r="P31" s="6" t="s">
        <v>140</v>
      </c>
      <c r="Q31" s="10">
        <v>46.483728760311841</v>
      </c>
      <c r="R31" s="10">
        <v>40.286623077903108</v>
      </c>
    </row>
    <row r="32" spans="1:18" x14ac:dyDescent="0.25">
      <c r="A32" s="8">
        <v>28</v>
      </c>
      <c r="B32" s="8" t="s">
        <v>188</v>
      </c>
      <c r="C32" s="8" t="s">
        <v>42</v>
      </c>
      <c r="D32" s="8" t="s">
        <v>28</v>
      </c>
      <c r="E32" s="8" t="s">
        <v>29</v>
      </c>
      <c r="F32" s="8" t="s">
        <v>96</v>
      </c>
      <c r="G32" s="8" t="s">
        <v>112</v>
      </c>
      <c r="H32" s="8" t="s">
        <v>112</v>
      </c>
      <c r="I32" s="11">
        <v>145.90644227428081</v>
      </c>
      <c r="J32" s="11">
        <v>145.99433069945931</v>
      </c>
      <c r="K32" s="11">
        <v>195.40219999999999</v>
      </c>
      <c r="L32" s="11">
        <v>266.86321666666669</v>
      </c>
      <c r="M32" s="8" t="s">
        <v>189</v>
      </c>
      <c r="N32" s="8" t="s">
        <v>190</v>
      </c>
      <c r="O32" s="8" t="s">
        <v>115</v>
      </c>
      <c r="P32" s="8" t="s">
        <v>191</v>
      </c>
      <c r="Q32" s="11">
        <v>48.032687059895139</v>
      </c>
      <c r="R32" s="11">
        <v>45.342764687473462</v>
      </c>
    </row>
    <row r="33" spans="1:18" x14ac:dyDescent="0.25">
      <c r="A33" s="6">
        <v>29</v>
      </c>
      <c r="B33" s="6" t="s">
        <v>192</v>
      </c>
      <c r="C33" s="6" t="s">
        <v>44</v>
      </c>
      <c r="D33" s="6" t="s">
        <v>28</v>
      </c>
      <c r="E33" s="6" t="s">
        <v>29</v>
      </c>
      <c r="F33" s="6" t="s">
        <v>96</v>
      </c>
      <c r="G33" s="6" t="s">
        <v>112</v>
      </c>
      <c r="H33" s="6" t="s">
        <v>122</v>
      </c>
      <c r="I33" s="10">
        <v>148.61845633311091</v>
      </c>
      <c r="J33" s="10">
        <v>148.55222316255839</v>
      </c>
      <c r="K33" s="10">
        <v>202.45428333333331</v>
      </c>
      <c r="L33" s="10">
        <v>266.73758333333342</v>
      </c>
      <c r="M33" s="6" t="s">
        <v>118</v>
      </c>
      <c r="N33" s="6" t="s">
        <v>170</v>
      </c>
      <c r="O33" s="6" t="s">
        <v>193</v>
      </c>
      <c r="P33" s="6" t="s">
        <v>125</v>
      </c>
      <c r="Q33" s="10">
        <v>47.685896180996579</v>
      </c>
      <c r="R33" s="10">
        <v>42.944529784860279</v>
      </c>
    </row>
    <row r="34" spans="1:18" x14ac:dyDescent="0.25">
      <c r="A34" s="8">
        <v>30</v>
      </c>
      <c r="B34" s="8" t="s">
        <v>194</v>
      </c>
      <c r="C34" s="8" t="s">
        <v>44</v>
      </c>
      <c r="D34" s="8" t="s">
        <v>28</v>
      </c>
      <c r="E34" s="8" t="s">
        <v>29</v>
      </c>
      <c r="F34" s="8" t="s">
        <v>96</v>
      </c>
      <c r="G34" s="8" t="s">
        <v>122</v>
      </c>
      <c r="H34" s="8" t="s">
        <v>112</v>
      </c>
      <c r="I34" s="11">
        <v>145.9773325040056</v>
      </c>
      <c r="J34" s="11">
        <v>145.88933639903391</v>
      </c>
      <c r="K34" s="11">
        <v>255.74388333333329</v>
      </c>
      <c r="L34" s="11">
        <v>265.62998333333331</v>
      </c>
      <c r="M34" s="8" t="s">
        <v>195</v>
      </c>
      <c r="N34" s="8" t="s">
        <v>196</v>
      </c>
      <c r="O34" s="8" t="s">
        <v>115</v>
      </c>
      <c r="P34" s="8" t="s">
        <v>197</v>
      </c>
      <c r="Q34" s="11">
        <v>47.245229900420597</v>
      </c>
      <c r="R34" s="11">
        <v>45.594971634872877</v>
      </c>
    </row>
    <row r="35" spans="1:18" x14ac:dyDescent="0.25">
      <c r="A35" s="6">
        <v>31</v>
      </c>
      <c r="B35" s="6" t="s">
        <v>198</v>
      </c>
      <c r="C35" s="6" t="s">
        <v>42</v>
      </c>
      <c r="D35" s="6" t="s">
        <v>28</v>
      </c>
      <c r="E35" s="6" t="s">
        <v>29</v>
      </c>
      <c r="F35" s="6" t="s">
        <v>130</v>
      </c>
      <c r="G35" s="6" t="s">
        <v>145</v>
      </c>
      <c r="H35" s="6" t="s">
        <v>145</v>
      </c>
      <c r="I35" s="10">
        <v>123.9926446469637</v>
      </c>
      <c r="J35" s="10">
        <v>123.9802750677086</v>
      </c>
      <c r="K35" s="10">
        <v>187.65295</v>
      </c>
      <c r="L35" s="10">
        <v>194.95840000000001</v>
      </c>
      <c r="M35" s="6" t="s">
        <v>199</v>
      </c>
      <c r="N35" s="6" t="s">
        <v>200</v>
      </c>
      <c r="O35" s="6" t="s">
        <v>148</v>
      </c>
      <c r="P35" s="6" t="s">
        <v>149</v>
      </c>
      <c r="Q35" s="10">
        <v>46.882858863668829</v>
      </c>
      <c r="R35" s="10">
        <v>42.761694453487323</v>
      </c>
    </row>
    <row r="36" spans="1:18" x14ac:dyDescent="0.25">
      <c r="A36" s="8">
        <v>32</v>
      </c>
      <c r="B36" s="8" t="s">
        <v>201</v>
      </c>
      <c r="C36" s="8" t="s">
        <v>44</v>
      </c>
      <c r="D36" s="8" t="s">
        <v>28</v>
      </c>
      <c r="E36" s="8" t="s">
        <v>35</v>
      </c>
      <c r="F36" s="8" t="s">
        <v>76</v>
      </c>
      <c r="G36" s="8" t="s">
        <v>145</v>
      </c>
      <c r="H36" s="8" t="s">
        <v>78</v>
      </c>
      <c r="I36" s="11">
        <v>324.82784685582573</v>
      </c>
      <c r="J36" s="11">
        <v>330.65385365728412</v>
      </c>
      <c r="K36" s="11">
        <v>356.12246666666658</v>
      </c>
      <c r="L36" s="11">
        <v>333.43333333333328</v>
      </c>
      <c r="M36" s="8" t="s">
        <v>202</v>
      </c>
      <c r="N36" s="8" t="s">
        <v>203</v>
      </c>
      <c r="O36" s="8" t="s">
        <v>81</v>
      </c>
      <c r="P36" s="8" t="s">
        <v>204</v>
      </c>
      <c r="Q36" s="11">
        <v>65.688581946123335</v>
      </c>
      <c r="R36" s="11">
        <v>62.887753110635487</v>
      </c>
    </row>
    <row r="37" spans="1:18" x14ac:dyDescent="0.25">
      <c r="A37" s="6">
        <v>33</v>
      </c>
      <c r="B37" s="6" t="s">
        <v>205</v>
      </c>
      <c r="C37" s="6" t="s">
        <v>44</v>
      </c>
      <c r="D37" s="6" t="s">
        <v>28</v>
      </c>
      <c r="E37" s="6" t="s">
        <v>35</v>
      </c>
      <c r="F37" s="6" t="s">
        <v>76</v>
      </c>
      <c r="G37" s="6" t="s">
        <v>145</v>
      </c>
      <c r="H37" s="6" t="s">
        <v>84</v>
      </c>
      <c r="I37" s="10">
        <v>320.29500345641202</v>
      </c>
      <c r="J37" s="10">
        <v>320.93023294332693</v>
      </c>
      <c r="K37" s="10">
        <v>350.05456666666669</v>
      </c>
      <c r="L37" s="10">
        <v>317.31619999999998</v>
      </c>
      <c r="M37" s="6" t="s">
        <v>206</v>
      </c>
      <c r="N37" s="6" t="s">
        <v>207</v>
      </c>
      <c r="O37" s="6" t="s">
        <v>208</v>
      </c>
      <c r="P37" s="6" t="s">
        <v>209</v>
      </c>
      <c r="Q37" s="10">
        <v>66.126659936677697</v>
      </c>
      <c r="R37" s="10">
        <v>65.883968417687953</v>
      </c>
    </row>
    <row r="38" spans="1:18" x14ac:dyDescent="0.25">
      <c r="A38" s="8">
        <v>34</v>
      </c>
      <c r="B38" s="8" t="s">
        <v>210</v>
      </c>
      <c r="C38" s="8" t="s">
        <v>44</v>
      </c>
      <c r="D38" s="8" t="s">
        <v>28</v>
      </c>
      <c r="E38" s="8" t="s">
        <v>29</v>
      </c>
      <c r="F38" s="8" t="s">
        <v>130</v>
      </c>
      <c r="G38" s="8" t="s">
        <v>145</v>
      </c>
      <c r="H38" s="8" t="s">
        <v>154</v>
      </c>
      <c r="I38" s="11">
        <v>152.39467948024659</v>
      </c>
      <c r="J38" s="11">
        <v>154.03235985141359</v>
      </c>
      <c r="K38" s="11">
        <v>252.84703333333329</v>
      </c>
      <c r="L38" s="11">
        <v>291.75</v>
      </c>
      <c r="M38" s="8" t="s">
        <v>151</v>
      </c>
      <c r="N38" s="8" t="s">
        <v>211</v>
      </c>
      <c r="O38" s="8" t="s">
        <v>156</v>
      </c>
      <c r="P38" s="8" t="s">
        <v>185</v>
      </c>
      <c r="Q38" s="11">
        <v>42.287934939916333</v>
      </c>
      <c r="R38" s="11">
        <v>35.987183332600232</v>
      </c>
    </row>
    <row r="39" spans="1:18" x14ac:dyDescent="0.25">
      <c r="A39" s="6">
        <v>35</v>
      </c>
      <c r="B39" s="6" t="s">
        <v>212</v>
      </c>
      <c r="C39" s="6" t="s">
        <v>44</v>
      </c>
      <c r="D39" s="6" t="s">
        <v>28</v>
      </c>
      <c r="E39" s="6" t="s">
        <v>29</v>
      </c>
      <c r="F39" s="6" t="s">
        <v>130</v>
      </c>
      <c r="G39" s="6" t="s">
        <v>154</v>
      </c>
      <c r="H39" s="6" t="s">
        <v>145</v>
      </c>
      <c r="I39" s="10">
        <v>125.7416693023907</v>
      </c>
      <c r="J39" s="10">
        <v>123.9823800042885</v>
      </c>
      <c r="K39" s="10">
        <v>194.9381166666667</v>
      </c>
      <c r="L39" s="10">
        <v>194.95840000000001</v>
      </c>
      <c r="M39" s="6" t="s">
        <v>213</v>
      </c>
      <c r="N39" s="6" t="s">
        <v>160</v>
      </c>
      <c r="O39" s="6" t="s">
        <v>148</v>
      </c>
      <c r="P39" s="6" t="s">
        <v>149</v>
      </c>
      <c r="Q39" s="10">
        <v>45.475102570591687</v>
      </c>
      <c r="R39" s="10">
        <v>42.768923453873597</v>
      </c>
    </row>
    <row r="40" spans="1:18" x14ac:dyDescent="0.25">
      <c r="A40" s="8">
        <v>36</v>
      </c>
      <c r="B40" s="8" t="s">
        <v>214</v>
      </c>
      <c r="C40" s="8" t="s">
        <v>44</v>
      </c>
      <c r="D40" s="8" t="s">
        <v>28</v>
      </c>
      <c r="E40" s="8" t="s">
        <v>35</v>
      </c>
      <c r="F40" s="8" t="s">
        <v>88</v>
      </c>
      <c r="G40" s="8" t="s">
        <v>84</v>
      </c>
      <c r="H40" s="8" t="s">
        <v>90</v>
      </c>
      <c r="I40" s="11">
        <v>326.45811266430007</v>
      </c>
      <c r="J40" s="11">
        <v>326.59061742825281</v>
      </c>
      <c r="K40" s="11">
        <v>477.62115</v>
      </c>
      <c r="L40" s="11">
        <v>368.08333333333331</v>
      </c>
      <c r="M40" s="8" t="s">
        <v>215</v>
      </c>
      <c r="N40" s="8" t="s">
        <v>216</v>
      </c>
      <c r="O40" s="8" t="s">
        <v>208</v>
      </c>
      <c r="P40" s="8" t="s">
        <v>217</v>
      </c>
      <c r="Q40" s="11">
        <v>53.205170227322412</v>
      </c>
      <c r="R40" s="11">
        <v>59.004059141794428</v>
      </c>
    </row>
    <row r="41" spans="1:18" x14ac:dyDescent="0.25">
      <c r="A41" s="6">
        <v>37</v>
      </c>
      <c r="B41" s="6" t="s">
        <v>218</v>
      </c>
      <c r="C41" s="6" t="s">
        <v>42</v>
      </c>
      <c r="D41" s="6" t="s">
        <v>28</v>
      </c>
      <c r="E41" s="6" t="s">
        <v>35</v>
      </c>
      <c r="F41" s="6" t="s">
        <v>76</v>
      </c>
      <c r="G41" s="6" t="s">
        <v>219</v>
      </c>
      <c r="H41" s="6" t="s">
        <v>84</v>
      </c>
      <c r="I41" s="10">
        <v>249.12684837179509</v>
      </c>
      <c r="J41" s="10">
        <v>249.90720121217629</v>
      </c>
      <c r="K41" s="10">
        <v>261.38704999999999</v>
      </c>
      <c r="L41" s="10">
        <v>244.9409666666667</v>
      </c>
      <c r="M41" s="6" t="s">
        <v>220</v>
      </c>
      <c r="N41" s="6" t="s">
        <v>221</v>
      </c>
      <c r="O41" s="6" t="s">
        <v>85</v>
      </c>
      <c r="P41" s="6" t="s">
        <v>222</v>
      </c>
      <c r="Q41" s="10">
        <v>63.843688448222949</v>
      </c>
      <c r="R41" s="10">
        <v>67.45522324597772</v>
      </c>
    </row>
    <row r="42" spans="1:18" x14ac:dyDescent="0.25">
      <c r="A42" s="8">
        <v>38</v>
      </c>
      <c r="B42" s="8" t="s">
        <v>223</v>
      </c>
      <c r="C42" s="8" t="s">
        <v>42</v>
      </c>
      <c r="D42" s="8" t="s">
        <v>28</v>
      </c>
      <c r="E42" s="8" t="s">
        <v>31</v>
      </c>
      <c r="F42" s="8" t="s">
        <v>31</v>
      </c>
      <c r="G42" s="8" t="s">
        <v>224</v>
      </c>
      <c r="H42" s="8" t="s">
        <v>224</v>
      </c>
      <c r="I42" s="11">
        <v>326.35477257458922</v>
      </c>
      <c r="J42" s="11">
        <v>325.94609719425989</v>
      </c>
      <c r="K42" s="11">
        <v>395</v>
      </c>
      <c r="L42" s="11">
        <v>374.96151666666663</v>
      </c>
      <c r="M42" s="8" t="s">
        <v>225</v>
      </c>
      <c r="N42" s="8" t="s">
        <v>226</v>
      </c>
      <c r="O42" s="8" t="s">
        <v>227</v>
      </c>
      <c r="P42" s="8" t="s">
        <v>228</v>
      </c>
      <c r="Q42" s="11">
        <v>61.316237218779037</v>
      </c>
      <c r="R42" s="11">
        <v>59.540017015084743</v>
      </c>
    </row>
    <row r="43" spans="1:18" x14ac:dyDescent="0.25">
      <c r="A43" s="6">
        <v>39</v>
      </c>
      <c r="B43" s="6" t="s">
        <v>229</v>
      </c>
      <c r="C43" s="6" t="s">
        <v>44</v>
      </c>
      <c r="D43" s="6" t="s">
        <v>28</v>
      </c>
      <c r="E43" s="6" t="s">
        <v>31</v>
      </c>
      <c r="F43" s="6" t="s">
        <v>31</v>
      </c>
      <c r="G43" s="6" t="s">
        <v>224</v>
      </c>
      <c r="H43" s="6" t="s">
        <v>230</v>
      </c>
      <c r="I43" s="10">
        <v>325.41591380093507</v>
      </c>
      <c r="J43" s="10">
        <v>325.05351767503993</v>
      </c>
      <c r="K43" s="10">
        <v>392.37093333333343</v>
      </c>
      <c r="L43" s="10">
        <v>411.88261666666671</v>
      </c>
      <c r="M43" s="6" t="s">
        <v>231</v>
      </c>
      <c r="N43" s="6" t="s">
        <v>226</v>
      </c>
      <c r="O43" s="6" t="s">
        <v>232</v>
      </c>
      <c r="P43" s="6" t="s">
        <v>233</v>
      </c>
      <c r="Q43" s="10">
        <v>61.64781186469645</v>
      </c>
      <c r="R43" s="10">
        <v>56.977909507314003</v>
      </c>
    </row>
    <row r="44" spans="1:18" x14ac:dyDescent="0.25">
      <c r="A44" s="8">
        <v>40</v>
      </c>
      <c r="B44" s="8" t="s">
        <v>234</v>
      </c>
      <c r="C44" s="8" t="s">
        <v>44</v>
      </c>
      <c r="D44" s="8" t="s">
        <v>28</v>
      </c>
      <c r="E44" s="8" t="s">
        <v>31</v>
      </c>
      <c r="F44" s="8" t="s">
        <v>31</v>
      </c>
      <c r="G44" s="8" t="s">
        <v>224</v>
      </c>
      <c r="H44" s="8" t="s">
        <v>235</v>
      </c>
      <c r="I44" s="11">
        <v>326.42355177683419</v>
      </c>
      <c r="J44" s="11">
        <v>325.95210910875733</v>
      </c>
      <c r="K44" s="11">
        <v>395</v>
      </c>
      <c r="L44" s="11">
        <v>319.50481666666673</v>
      </c>
      <c r="M44" s="8" t="s">
        <v>225</v>
      </c>
      <c r="N44" s="8" t="s">
        <v>226</v>
      </c>
      <c r="O44" s="8" t="s">
        <v>236</v>
      </c>
      <c r="P44" s="8" t="s">
        <v>237</v>
      </c>
      <c r="Q44" s="11">
        <v>61.329177126178159</v>
      </c>
      <c r="R44" s="11">
        <v>62.637050944032119</v>
      </c>
    </row>
    <row r="45" spans="1:18" x14ac:dyDescent="0.25">
      <c r="A45" s="6">
        <v>41</v>
      </c>
      <c r="B45" s="6" t="s">
        <v>238</v>
      </c>
      <c r="C45" s="6" t="s">
        <v>44</v>
      </c>
      <c r="D45" s="6" t="s">
        <v>28</v>
      </c>
      <c r="E45" s="6" t="s">
        <v>31</v>
      </c>
      <c r="F45" s="6" t="s">
        <v>31</v>
      </c>
      <c r="G45" s="6" t="s">
        <v>235</v>
      </c>
      <c r="H45" s="6" t="s">
        <v>224</v>
      </c>
      <c r="I45" s="10">
        <v>325.44929939593982</v>
      </c>
      <c r="J45" s="10">
        <v>325.19747839743411</v>
      </c>
      <c r="K45" s="10">
        <v>353.84784999999999</v>
      </c>
      <c r="L45" s="10">
        <v>372.55040000000002</v>
      </c>
      <c r="M45" s="6" t="s">
        <v>239</v>
      </c>
      <c r="N45" s="6" t="s">
        <v>240</v>
      </c>
      <c r="O45" s="6" t="s">
        <v>227</v>
      </c>
      <c r="P45" s="6" t="s">
        <v>241</v>
      </c>
      <c r="Q45" s="10">
        <v>67.12149214202077</v>
      </c>
      <c r="R45" s="10">
        <v>59.843107131271857</v>
      </c>
    </row>
    <row r="46" spans="1:18" x14ac:dyDescent="0.25">
      <c r="A46" s="8">
        <v>42</v>
      </c>
      <c r="B46" s="8" t="s">
        <v>242</v>
      </c>
      <c r="C46" s="8" t="s">
        <v>42</v>
      </c>
      <c r="D46" s="8" t="s">
        <v>28</v>
      </c>
      <c r="E46" s="8" t="s">
        <v>33</v>
      </c>
      <c r="F46" s="8" t="s">
        <v>33</v>
      </c>
      <c r="G46" s="8" t="s">
        <v>243</v>
      </c>
      <c r="H46" s="8" t="s">
        <v>243</v>
      </c>
      <c r="I46" s="11">
        <v>321.86119576256169</v>
      </c>
      <c r="J46" s="11">
        <v>322.43341940471572</v>
      </c>
      <c r="K46" s="11">
        <v>405.77063333333331</v>
      </c>
      <c r="L46" s="11">
        <v>325.4048166666667</v>
      </c>
      <c r="M46" s="8" t="s">
        <v>244</v>
      </c>
      <c r="N46" s="8" t="s">
        <v>245</v>
      </c>
      <c r="O46" s="8" t="s">
        <v>246</v>
      </c>
      <c r="P46" s="8" t="s">
        <v>247</v>
      </c>
      <c r="Q46" s="11">
        <v>64.645314886366052</v>
      </c>
      <c r="R46" s="11">
        <v>63.964896238433653</v>
      </c>
    </row>
    <row r="47" spans="1:18" x14ac:dyDescent="0.25">
      <c r="A47" s="6">
        <v>43</v>
      </c>
      <c r="B47" s="6" t="s">
        <v>248</v>
      </c>
      <c r="C47" s="6" t="s">
        <v>44</v>
      </c>
      <c r="D47" s="6" t="s">
        <v>28</v>
      </c>
      <c r="E47" s="6" t="s">
        <v>33</v>
      </c>
      <c r="F47" s="6" t="s">
        <v>33</v>
      </c>
      <c r="G47" s="6" t="s">
        <v>243</v>
      </c>
      <c r="H47" s="6" t="s">
        <v>249</v>
      </c>
      <c r="I47" s="10">
        <v>322.17747430370082</v>
      </c>
      <c r="J47" s="10">
        <v>321.6269481176106</v>
      </c>
      <c r="K47" s="10">
        <v>446.45</v>
      </c>
      <c r="L47" s="10">
        <v>341.44238333333328</v>
      </c>
      <c r="M47" s="6" t="s">
        <v>250</v>
      </c>
      <c r="N47" s="6" t="s">
        <v>251</v>
      </c>
      <c r="O47" s="6" t="s">
        <v>252</v>
      </c>
      <c r="P47" s="6" t="s">
        <v>253</v>
      </c>
      <c r="Q47" s="10">
        <v>64.4401967523076</v>
      </c>
      <c r="R47" s="10">
        <v>64.281452951025713</v>
      </c>
    </row>
    <row r="48" spans="1:18" x14ac:dyDescent="0.25">
      <c r="A48" s="8">
        <v>44</v>
      </c>
      <c r="B48" s="8" t="s">
        <v>254</v>
      </c>
      <c r="C48" s="8" t="s">
        <v>44</v>
      </c>
      <c r="D48" s="8" t="s">
        <v>28</v>
      </c>
      <c r="E48" s="8" t="s">
        <v>33</v>
      </c>
      <c r="F48" s="8" t="s">
        <v>33</v>
      </c>
      <c r="G48" s="8" t="s">
        <v>249</v>
      </c>
      <c r="H48" s="8" t="s">
        <v>243</v>
      </c>
      <c r="I48" s="11">
        <v>324.42978832438968</v>
      </c>
      <c r="J48" s="11">
        <v>325.03506672854411</v>
      </c>
      <c r="K48" s="11">
        <v>408.62676666666658</v>
      </c>
      <c r="L48" s="11">
        <v>325.26549999999997</v>
      </c>
      <c r="M48" s="8" t="s">
        <v>255</v>
      </c>
      <c r="N48" s="8" t="s">
        <v>256</v>
      </c>
      <c r="O48" s="8" t="s">
        <v>257</v>
      </c>
      <c r="P48" s="8" t="s">
        <v>258</v>
      </c>
      <c r="Q48" s="11">
        <v>62.280657722390274</v>
      </c>
      <c r="R48" s="11">
        <v>63.759140657029413</v>
      </c>
    </row>
    <row r="49" spans="1:18" x14ac:dyDescent="0.25">
      <c r="A49" s="6">
        <v>45</v>
      </c>
      <c r="B49" s="6" t="s">
        <v>259</v>
      </c>
      <c r="C49" s="6" t="s">
        <v>44</v>
      </c>
      <c r="D49" s="6" t="s">
        <v>28</v>
      </c>
      <c r="E49" s="6" t="s">
        <v>33</v>
      </c>
      <c r="F49" s="6" t="s">
        <v>33</v>
      </c>
      <c r="G49" s="6" t="s">
        <v>243</v>
      </c>
      <c r="H49" s="6" t="s">
        <v>260</v>
      </c>
      <c r="I49" s="10">
        <v>322.27359408346013</v>
      </c>
      <c r="J49" s="10">
        <v>322.64698261892221</v>
      </c>
      <c r="K49" s="10">
        <v>446.45</v>
      </c>
      <c r="L49" s="10">
        <v>349.42598333333342</v>
      </c>
      <c r="M49" s="6" t="s">
        <v>250</v>
      </c>
      <c r="N49" s="6" t="s">
        <v>251</v>
      </c>
      <c r="O49" s="6" t="s">
        <v>261</v>
      </c>
      <c r="P49" s="6" t="s">
        <v>262</v>
      </c>
      <c r="Q49" s="10">
        <v>64.459443162404568</v>
      </c>
      <c r="R49" s="10">
        <v>59.875837357006112</v>
      </c>
    </row>
    <row r="50" spans="1:18" x14ac:dyDescent="0.25">
      <c r="A50" s="8">
        <v>46</v>
      </c>
      <c r="B50" s="8" t="s">
        <v>263</v>
      </c>
      <c r="C50" s="8" t="s">
        <v>44</v>
      </c>
      <c r="D50" s="8" t="s">
        <v>28</v>
      </c>
      <c r="E50" s="8" t="s">
        <v>33</v>
      </c>
      <c r="F50" s="8" t="s">
        <v>33</v>
      </c>
      <c r="G50" s="8" t="s">
        <v>260</v>
      </c>
      <c r="H50" s="8" t="s">
        <v>243</v>
      </c>
      <c r="I50" s="11">
        <v>324.93502838087829</v>
      </c>
      <c r="J50" s="11">
        <v>325.72634804024972</v>
      </c>
      <c r="K50" s="11">
        <v>394.6350333333333</v>
      </c>
      <c r="L50" s="11">
        <v>329.75</v>
      </c>
      <c r="M50" s="8" t="s">
        <v>264</v>
      </c>
      <c r="N50" s="8" t="s">
        <v>265</v>
      </c>
      <c r="O50" s="8" t="s">
        <v>246</v>
      </c>
      <c r="P50" s="8" t="s">
        <v>258</v>
      </c>
      <c r="Q50" s="11">
        <v>64.174151856789692</v>
      </c>
      <c r="R50" s="11">
        <v>63.702556250659107</v>
      </c>
    </row>
    <row r="51" spans="1:18" x14ac:dyDescent="0.25">
      <c r="A51" s="6">
        <v>47</v>
      </c>
      <c r="B51" s="6" t="s">
        <v>266</v>
      </c>
      <c r="C51" s="6" t="s">
        <v>44</v>
      </c>
      <c r="D51" s="6" t="s">
        <v>28</v>
      </c>
      <c r="E51" s="6" t="s">
        <v>31</v>
      </c>
      <c r="F51" s="6" t="s">
        <v>31</v>
      </c>
      <c r="G51" s="6" t="s">
        <v>235</v>
      </c>
      <c r="H51" s="6" t="s">
        <v>230</v>
      </c>
      <c r="I51" s="10">
        <v>325.38165129441143</v>
      </c>
      <c r="J51" s="10">
        <v>325.17312937934167</v>
      </c>
      <c r="K51" s="10">
        <v>353.84784999999999</v>
      </c>
      <c r="L51" s="10">
        <v>412.48813333333328</v>
      </c>
      <c r="M51" s="6" t="s">
        <v>239</v>
      </c>
      <c r="N51" s="6" t="s">
        <v>240</v>
      </c>
      <c r="O51" s="6" t="s">
        <v>267</v>
      </c>
      <c r="P51" s="6" t="s">
        <v>268</v>
      </c>
      <c r="Q51" s="10">
        <v>67.10753118315435</v>
      </c>
      <c r="R51" s="10">
        <v>57.067129814922858</v>
      </c>
    </row>
    <row r="52" spans="1:18" x14ac:dyDescent="0.25">
      <c r="A52" s="8">
        <v>48</v>
      </c>
      <c r="B52" s="8" t="s">
        <v>269</v>
      </c>
      <c r="C52" s="8" t="s">
        <v>42</v>
      </c>
      <c r="D52" s="8" t="s">
        <v>28</v>
      </c>
      <c r="E52" s="8" t="s">
        <v>33</v>
      </c>
      <c r="F52" s="8" t="s">
        <v>33</v>
      </c>
      <c r="G52" s="8" t="s">
        <v>249</v>
      </c>
      <c r="H52" s="8" t="s">
        <v>249</v>
      </c>
      <c r="I52" s="11">
        <v>325.39890709550622</v>
      </c>
      <c r="J52" s="11">
        <v>324.88432242009242</v>
      </c>
      <c r="K52" s="11">
        <v>410.73333333333329</v>
      </c>
      <c r="L52" s="11">
        <v>348.14720000000011</v>
      </c>
      <c r="M52" s="8" t="s">
        <v>255</v>
      </c>
      <c r="N52" s="8" t="s">
        <v>270</v>
      </c>
      <c r="O52" s="8" t="s">
        <v>271</v>
      </c>
      <c r="P52" s="8" t="s">
        <v>272</v>
      </c>
      <c r="Q52" s="11">
        <v>62.048170909885918</v>
      </c>
      <c r="R52" s="11">
        <v>63.51275377345894</v>
      </c>
    </row>
    <row r="53" spans="1:18" x14ac:dyDescent="0.25">
      <c r="A53" s="6">
        <v>49</v>
      </c>
      <c r="B53" s="6" t="s">
        <v>273</v>
      </c>
      <c r="C53" s="6" t="s">
        <v>44</v>
      </c>
      <c r="D53" s="6" t="s">
        <v>28</v>
      </c>
      <c r="E53" s="6" t="s">
        <v>33</v>
      </c>
      <c r="F53" s="6" t="s">
        <v>33</v>
      </c>
      <c r="G53" s="6" t="s">
        <v>249</v>
      </c>
      <c r="H53" s="6" t="s">
        <v>260</v>
      </c>
      <c r="I53" s="10">
        <v>323.75364208554902</v>
      </c>
      <c r="J53" s="10">
        <v>324.12513972731608</v>
      </c>
      <c r="K53" s="10">
        <v>407.74795</v>
      </c>
      <c r="L53" s="10">
        <v>346.04665</v>
      </c>
      <c r="M53" s="6" t="s">
        <v>255</v>
      </c>
      <c r="N53" s="6" t="s">
        <v>274</v>
      </c>
      <c r="O53" s="6" t="s">
        <v>275</v>
      </c>
      <c r="P53" s="6" t="s">
        <v>276</v>
      </c>
      <c r="Q53" s="10">
        <v>62.32616891116043</v>
      </c>
      <c r="R53" s="10">
        <v>60.09883681712126</v>
      </c>
    </row>
    <row r="54" spans="1:18" x14ac:dyDescent="0.25">
      <c r="A54" s="8">
        <v>50</v>
      </c>
      <c r="B54" s="8" t="s">
        <v>277</v>
      </c>
      <c r="C54" s="8" t="s">
        <v>44</v>
      </c>
      <c r="D54" s="8" t="s">
        <v>28</v>
      </c>
      <c r="E54" s="8" t="s">
        <v>33</v>
      </c>
      <c r="F54" s="8" t="s">
        <v>33</v>
      </c>
      <c r="G54" s="8" t="s">
        <v>260</v>
      </c>
      <c r="H54" s="8" t="s">
        <v>249</v>
      </c>
      <c r="I54" s="11">
        <v>326.46596224309337</v>
      </c>
      <c r="J54" s="11">
        <v>326.13414239444489</v>
      </c>
      <c r="K54" s="11">
        <v>420.64665000000002</v>
      </c>
      <c r="L54" s="11">
        <v>351.75</v>
      </c>
      <c r="M54" s="8" t="s">
        <v>278</v>
      </c>
      <c r="N54" s="8" t="s">
        <v>279</v>
      </c>
      <c r="O54" s="8" t="s">
        <v>252</v>
      </c>
      <c r="P54" s="8" t="s">
        <v>280</v>
      </c>
      <c r="Q54" s="11">
        <v>63.924179776882589</v>
      </c>
      <c r="R54" s="11">
        <v>63.016566640353268</v>
      </c>
    </row>
    <row r="55" spans="1:18" x14ac:dyDescent="0.25">
      <c r="A55" s="6">
        <v>51</v>
      </c>
      <c r="B55" s="6" t="s">
        <v>281</v>
      </c>
      <c r="C55" s="6" t="s">
        <v>42</v>
      </c>
      <c r="D55" s="6" t="s">
        <v>28</v>
      </c>
      <c r="E55" s="6" t="s">
        <v>29</v>
      </c>
      <c r="F55" s="6" t="s">
        <v>96</v>
      </c>
      <c r="G55" s="6" t="s">
        <v>122</v>
      </c>
      <c r="H55" s="6" t="s">
        <v>122</v>
      </c>
      <c r="I55" s="10">
        <v>153.67647670508151</v>
      </c>
      <c r="J55" s="10">
        <v>153.53074027842979</v>
      </c>
      <c r="K55" s="10">
        <v>265.81493333333327</v>
      </c>
      <c r="L55" s="10">
        <v>285.56666666666672</v>
      </c>
      <c r="M55" s="6" t="s">
        <v>282</v>
      </c>
      <c r="N55" s="6" t="s">
        <v>175</v>
      </c>
      <c r="O55" s="6" t="s">
        <v>124</v>
      </c>
      <c r="P55" s="6" t="s">
        <v>125</v>
      </c>
      <c r="Q55" s="10">
        <v>45.911373665924373</v>
      </c>
      <c r="R55" s="10">
        <v>41.347135164429552</v>
      </c>
    </row>
    <row r="56" spans="1:18" x14ac:dyDescent="0.25">
      <c r="A56" s="8">
        <v>52</v>
      </c>
      <c r="B56" s="8" t="s">
        <v>283</v>
      </c>
      <c r="C56" s="8" t="s">
        <v>42</v>
      </c>
      <c r="D56" s="8" t="s">
        <v>28</v>
      </c>
      <c r="E56" s="8" t="s">
        <v>29</v>
      </c>
      <c r="F56" s="8" t="s">
        <v>130</v>
      </c>
      <c r="G56" s="8" t="s">
        <v>154</v>
      </c>
      <c r="H56" s="8" t="s">
        <v>154</v>
      </c>
      <c r="I56" s="11">
        <v>151.56015677624401</v>
      </c>
      <c r="J56" s="11">
        <v>152.10930530550161</v>
      </c>
      <c r="K56" s="11">
        <v>263.95294999999999</v>
      </c>
      <c r="L56" s="11">
        <v>286.34036666666663</v>
      </c>
      <c r="M56" s="8" t="s">
        <v>284</v>
      </c>
      <c r="N56" s="8" t="s">
        <v>285</v>
      </c>
      <c r="O56" s="8" t="s">
        <v>156</v>
      </c>
      <c r="P56" s="8" t="s">
        <v>286</v>
      </c>
      <c r="Q56" s="11">
        <v>42.410120530327511</v>
      </c>
      <c r="R56" s="11">
        <v>36.293607322885208</v>
      </c>
    </row>
    <row r="57" spans="1:18" x14ac:dyDescent="0.25">
      <c r="A57" s="6">
        <v>53</v>
      </c>
      <c r="B57" s="6" t="s">
        <v>287</v>
      </c>
      <c r="C57" s="6" t="s">
        <v>42</v>
      </c>
      <c r="D57" s="6" t="s">
        <v>28</v>
      </c>
      <c r="E57" s="6" t="s">
        <v>31</v>
      </c>
      <c r="F57" s="6" t="s">
        <v>31</v>
      </c>
      <c r="G57" s="6" t="s">
        <v>235</v>
      </c>
      <c r="H57" s="6" t="s">
        <v>235</v>
      </c>
      <c r="I57" s="10">
        <v>325.4090582064992</v>
      </c>
      <c r="J57" s="10">
        <v>325.0956316318464</v>
      </c>
      <c r="K57" s="10">
        <v>353.84784999999999</v>
      </c>
      <c r="L57" s="10">
        <v>317.94676666666669</v>
      </c>
      <c r="M57" s="6" t="s">
        <v>239</v>
      </c>
      <c r="N57" s="6" t="s">
        <v>240</v>
      </c>
      <c r="O57" s="6" t="s">
        <v>236</v>
      </c>
      <c r="P57" s="6" t="s">
        <v>288</v>
      </c>
      <c r="Q57" s="10">
        <v>67.113187317822849</v>
      </c>
      <c r="R57" s="10">
        <v>62.785790581976698</v>
      </c>
    </row>
    <row r="58" spans="1:18" x14ac:dyDescent="0.25">
      <c r="A58" s="8">
        <v>54</v>
      </c>
      <c r="B58" s="8" t="s">
        <v>289</v>
      </c>
      <c r="C58" s="8" t="s">
        <v>42</v>
      </c>
      <c r="D58" s="8" t="s">
        <v>28</v>
      </c>
      <c r="E58" s="8" t="s">
        <v>33</v>
      </c>
      <c r="F58" s="8" t="s">
        <v>33</v>
      </c>
      <c r="G58" s="8" t="s">
        <v>260</v>
      </c>
      <c r="H58" s="8" t="s">
        <v>260</v>
      </c>
      <c r="I58" s="11">
        <v>324.46950740183598</v>
      </c>
      <c r="J58" s="11">
        <v>325.03344841128018</v>
      </c>
      <c r="K58" s="11">
        <v>417.36546666666669</v>
      </c>
      <c r="L58" s="11">
        <v>352.73333333333329</v>
      </c>
      <c r="M58" s="8" t="s">
        <v>278</v>
      </c>
      <c r="N58" s="8" t="s">
        <v>290</v>
      </c>
      <c r="O58" s="8" t="s">
        <v>261</v>
      </c>
      <c r="P58" s="8" t="s">
        <v>276</v>
      </c>
      <c r="Q58" s="11">
        <v>64.21541291915878</v>
      </c>
      <c r="R58" s="11">
        <v>59.707655911824418</v>
      </c>
    </row>
    <row r="61" spans="1:18" ht="27.95" customHeight="1" x14ac:dyDescent="0.25">
      <c r="A61" s="55" t="s">
        <v>332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</row>
    <row r="62" spans="1:18" ht="3.9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4" spans="1:18" ht="30" x14ac:dyDescent="0.25">
      <c r="A64" s="9" t="s">
        <v>59</v>
      </c>
      <c r="B64" s="9" t="s">
        <v>60</v>
      </c>
      <c r="C64" s="9" t="s">
        <v>292</v>
      </c>
      <c r="D64" s="9" t="s">
        <v>24</v>
      </c>
      <c r="E64" s="9" t="s">
        <v>61</v>
      </c>
      <c r="F64" s="9" t="s">
        <v>62</v>
      </c>
      <c r="G64" s="9" t="s">
        <v>293</v>
      </c>
      <c r="H64" s="9" t="s">
        <v>294</v>
      </c>
      <c r="I64" s="9" t="s">
        <v>295</v>
      </c>
      <c r="J64" s="9" t="s">
        <v>296</v>
      </c>
      <c r="K64" s="9" t="s">
        <v>297</v>
      </c>
      <c r="L64" s="9" t="s">
        <v>298</v>
      </c>
      <c r="M64" s="9" t="s">
        <v>299</v>
      </c>
    </row>
    <row r="65" spans="1:13" x14ac:dyDescent="0.25">
      <c r="A65" s="6">
        <v>1</v>
      </c>
      <c r="B65" s="6" t="s">
        <v>75</v>
      </c>
      <c r="C65" s="6" t="s">
        <v>300</v>
      </c>
      <c r="D65" s="6" t="s">
        <v>28</v>
      </c>
      <c r="E65" s="6" t="s">
        <v>35</v>
      </c>
      <c r="F65" s="6" t="s">
        <v>76</v>
      </c>
      <c r="G65" s="10">
        <v>30</v>
      </c>
      <c r="H65" s="10">
        <v>23.65</v>
      </c>
      <c r="I65" s="10">
        <v>25.7</v>
      </c>
      <c r="J65" s="10">
        <v>7.6</v>
      </c>
      <c r="K65" s="10">
        <v>61.423733333333331</v>
      </c>
      <c r="L65" s="10">
        <v>45.18333333333333</v>
      </c>
      <c r="M65" s="10">
        <v>150.2833333333333</v>
      </c>
    </row>
    <row r="66" spans="1:13" x14ac:dyDescent="0.25">
      <c r="A66" s="8">
        <v>1</v>
      </c>
      <c r="B66" s="8" t="s">
        <v>75</v>
      </c>
      <c r="C66" s="8" t="s">
        <v>301</v>
      </c>
      <c r="D66" s="8" t="s">
        <v>28</v>
      </c>
      <c r="E66" s="8" t="s">
        <v>35</v>
      </c>
      <c r="F66" s="8" t="s">
        <v>76</v>
      </c>
      <c r="G66" s="11">
        <v>0</v>
      </c>
      <c r="H66" s="11">
        <v>18.100000000000001</v>
      </c>
      <c r="I66" s="11">
        <v>6.6666666666666666E-2</v>
      </c>
      <c r="J66" s="11">
        <v>1.75</v>
      </c>
      <c r="K66" s="11">
        <v>57.690849999999998</v>
      </c>
      <c r="L66" s="11">
        <v>41.383333333333333</v>
      </c>
      <c r="M66" s="11">
        <v>192.51666666666671</v>
      </c>
    </row>
    <row r="67" spans="1:13" x14ac:dyDescent="0.25">
      <c r="A67" s="6">
        <v>2</v>
      </c>
      <c r="B67" s="6" t="s">
        <v>83</v>
      </c>
      <c r="C67" s="6" t="s">
        <v>300</v>
      </c>
      <c r="D67" s="6" t="s">
        <v>28</v>
      </c>
      <c r="E67" s="6" t="s">
        <v>35</v>
      </c>
      <c r="F67" s="6" t="s">
        <v>76</v>
      </c>
      <c r="G67" s="10">
        <v>30</v>
      </c>
      <c r="H67" s="10">
        <v>23.65</v>
      </c>
      <c r="I67" s="10">
        <v>25.7</v>
      </c>
      <c r="J67" s="10">
        <v>7.6</v>
      </c>
      <c r="K67" s="10">
        <v>61.423733333333331</v>
      </c>
      <c r="L67" s="10">
        <v>45.18333333333333</v>
      </c>
      <c r="M67" s="10">
        <v>150.2833333333333</v>
      </c>
    </row>
    <row r="68" spans="1:13" x14ac:dyDescent="0.25">
      <c r="A68" s="8">
        <v>2</v>
      </c>
      <c r="B68" s="8" t="s">
        <v>83</v>
      </c>
      <c r="C68" s="8" t="s">
        <v>301</v>
      </c>
      <c r="D68" s="8" t="s">
        <v>28</v>
      </c>
      <c r="E68" s="8" t="s">
        <v>35</v>
      </c>
      <c r="F68" s="8" t="s">
        <v>76</v>
      </c>
      <c r="G68" s="11">
        <v>0</v>
      </c>
      <c r="H68" s="11">
        <v>16.43333333333333</v>
      </c>
      <c r="I68" s="11">
        <v>6.9833333333333334</v>
      </c>
      <c r="J68" s="11">
        <v>5</v>
      </c>
      <c r="K68" s="11">
        <v>60.018216666666667</v>
      </c>
      <c r="L68" s="11">
        <v>42.633333333333333</v>
      </c>
      <c r="M68" s="11">
        <v>167.95</v>
      </c>
    </row>
    <row r="69" spans="1:13" x14ac:dyDescent="0.25">
      <c r="A69" s="6">
        <v>3</v>
      </c>
      <c r="B69" s="6" t="s">
        <v>87</v>
      </c>
      <c r="C69" s="6" t="s">
        <v>300</v>
      </c>
      <c r="D69" s="6" t="s">
        <v>28</v>
      </c>
      <c r="E69" s="6" t="s">
        <v>35</v>
      </c>
      <c r="F69" s="6" t="s">
        <v>88</v>
      </c>
      <c r="G69" s="10">
        <v>38.333333333333343</v>
      </c>
      <c r="H69" s="10">
        <v>10.56666666666667</v>
      </c>
      <c r="I69" s="10">
        <v>0</v>
      </c>
      <c r="J69" s="10">
        <v>0.66666666666666663</v>
      </c>
      <c r="K69" s="10">
        <v>49.31666666666667</v>
      </c>
      <c r="L69" s="10">
        <v>44.583333333333343</v>
      </c>
      <c r="M69" s="10">
        <v>202.15</v>
      </c>
    </row>
    <row r="70" spans="1:13" x14ac:dyDescent="0.25">
      <c r="A70" s="8">
        <v>3</v>
      </c>
      <c r="B70" s="8" t="s">
        <v>87</v>
      </c>
      <c r="C70" s="8" t="s">
        <v>301</v>
      </c>
      <c r="D70" s="8" t="s">
        <v>28</v>
      </c>
      <c r="E70" s="8" t="s">
        <v>35</v>
      </c>
      <c r="F70" s="8" t="s">
        <v>88</v>
      </c>
      <c r="G70" s="11">
        <v>0</v>
      </c>
      <c r="H70" s="11">
        <v>35.983333333333327</v>
      </c>
      <c r="I70" s="11">
        <v>0.35</v>
      </c>
      <c r="J70" s="11">
        <v>4.083333333333333</v>
      </c>
      <c r="K70" s="11">
        <v>62.087049999999998</v>
      </c>
      <c r="L70" s="11">
        <v>50.533333333333331</v>
      </c>
      <c r="M70" s="11">
        <v>205.36038333333329</v>
      </c>
    </row>
    <row r="71" spans="1:13" x14ac:dyDescent="0.25">
      <c r="A71" s="6">
        <v>4</v>
      </c>
      <c r="B71" s="6" t="s">
        <v>95</v>
      </c>
      <c r="C71" s="6" t="s">
        <v>300</v>
      </c>
      <c r="D71" s="6" t="s">
        <v>28</v>
      </c>
      <c r="E71" s="6" t="s">
        <v>29</v>
      </c>
      <c r="F71" s="6" t="s">
        <v>96</v>
      </c>
      <c r="G71" s="10">
        <v>0</v>
      </c>
      <c r="H71" s="10">
        <v>25.883333333333329</v>
      </c>
      <c r="I71" s="10">
        <v>8.15</v>
      </c>
      <c r="J71" s="10">
        <v>8.0166666666666675</v>
      </c>
      <c r="K71" s="10">
        <v>55.883333333333333</v>
      </c>
      <c r="L71" s="10">
        <v>40.116666666666667</v>
      </c>
      <c r="M71" s="10">
        <v>102.3936333333333</v>
      </c>
    </row>
    <row r="72" spans="1:13" x14ac:dyDescent="0.25">
      <c r="A72" s="8">
        <v>4</v>
      </c>
      <c r="B72" s="8" t="s">
        <v>95</v>
      </c>
      <c r="C72" s="8" t="s">
        <v>301</v>
      </c>
      <c r="D72" s="8" t="s">
        <v>28</v>
      </c>
      <c r="E72" s="8" t="s">
        <v>29</v>
      </c>
      <c r="F72" s="8" t="s">
        <v>96</v>
      </c>
      <c r="G72" s="11">
        <v>0</v>
      </c>
      <c r="H72" s="11">
        <v>69.483333333333334</v>
      </c>
      <c r="I72" s="11">
        <v>9.9499999999999993</v>
      </c>
      <c r="J72" s="11">
        <v>1.716666666666667</v>
      </c>
      <c r="K72" s="11">
        <v>25.133333333333329</v>
      </c>
      <c r="L72" s="11">
        <v>23.43333333333333</v>
      </c>
      <c r="M72" s="11">
        <v>144.6333333333333</v>
      </c>
    </row>
    <row r="73" spans="1:13" x14ac:dyDescent="0.25">
      <c r="A73" s="6">
        <v>5</v>
      </c>
      <c r="B73" s="6" t="s">
        <v>102</v>
      </c>
      <c r="C73" s="6" t="s">
        <v>300</v>
      </c>
      <c r="D73" s="6" t="s">
        <v>28</v>
      </c>
      <c r="E73" s="6" t="s">
        <v>29</v>
      </c>
      <c r="F73" s="6" t="s">
        <v>96</v>
      </c>
      <c r="G73" s="10">
        <v>0</v>
      </c>
      <c r="H73" s="10">
        <v>25.883333333333329</v>
      </c>
      <c r="I73" s="10">
        <v>4.9333333333333336</v>
      </c>
      <c r="J73" s="10">
        <v>5.9333333333333336</v>
      </c>
      <c r="K73" s="10">
        <v>52.333333333333343</v>
      </c>
      <c r="L73" s="10">
        <v>37.574966666666668</v>
      </c>
      <c r="M73" s="10">
        <v>82.933616666666666</v>
      </c>
    </row>
    <row r="74" spans="1:13" x14ac:dyDescent="0.25">
      <c r="A74" s="8">
        <v>5</v>
      </c>
      <c r="B74" s="8" t="s">
        <v>102</v>
      </c>
      <c r="C74" s="8" t="s">
        <v>301</v>
      </c>
      <c r="D74" s="8" t="s">
        <v>28</v>
      </c>
      <c r="E74" s="8" t="s">
        <v>29</v>
      </c>
      <c r="F74" s="8" t="s">
        <v>96</v>
      </c>
      <c r="G74" s="11">
        <v>0</v>
      </c>
      <c r="H74" s="11">
        <v>31.8</v>
      </c>
      <c r="I74" s="11">
        <v>0</v>
      </c>
      <c r="J74" s="11">
        <v>1.5</v>
      </c>
      <c r="K74" s="11">
        <v>30.466666666666669</v>
      </c>
      <c r="L74" s="11">
        <v>23</v>
      </c>
      <c r="M74" s="11">
        <v>134.3833333333333</v>
      </c>
    </row>
    <row r="75" spans="1:13" x14ac:dyDescent="0.25">
      <c r="A75" s="6">
        <v>6</v>
      </c>
      <c r="B75" s="6" t="s">
        <v>108</v>
      </c>
      <c r="C75" s="6" t="s">
        <v>300</v>
      </c>
      <c r="D75" s="6" t="s">
        <v>28</v>
      </c>
      <c r="E75" s="6" t="s">
        <v>29</v>
      </c>
      <c r="F75" s="6" t="s">
        <v>96</v>
      </c>
      <c r="G75" s="10">
        <v>0</v>
      </c>
      <c r="H75" s="10">
        <v>30.18333333333333</v>
      </c>
      <c r="I75" s="10">
        <v>14.29151666666667</v>
      </c>
      <c r="J75" s="10">
        <v>2.1</v>
      </c>
      <c r="K75" s="10">
        <v>48.092233333333333</v>
      </c>
      <c r="L75" s="10">
        <v>33.450000000000003</v>
      </c>
      <c r="M75" s="10">
        <v>93.4</v>
      </c>
    </row>
    <row r="76" spans="1:13" x14ac:dyDescent="0.25">
      <c r="A76" s="8">
        <v>6</v>
      </c>
      <c r="B76" s="8" t="s">
        <v>108</v>
      </c>
      <c r="C76" s="8" t="s">
        <v>301</v>
      </c>
      <c r="D76" s="8" t="s">
        <v>28</v>
      </c>
      <c r="E76" s="8" t="s">
        <v>29</v>
      </c>
      <c r="F76" s="8" t="s">
        <v>96</v>
      </c>
      <c r="G76" s="11">
        <v>0</v>
      </c>
      <c r="H76" s="11">
        <v>69.483333333333334</v>
      </c>
      <c r="I76" s="11">
        <v>9.9499999999999993</v>
      </c>
      <c r="J76" s="11">
        <v>1.716666666666667</v>
      </c>
      <c r="K76" s="11">
        <v>25.133333333333329</v>
      </c>
      <c r="L76" s="11">
        <v>23.43333333333333</v>
      </c>
      <c r="M76" s="11">
        <v>144.6333333333333</v>
      </c>
    </row>
    <row r="77" spans="1:13" x14ac:dyDescent="0.25">
      <c r="A77" s="6">
        <v>7</v>
      </c>
      <c r="B77" s="6" t="s">
        <v>111</v>
      </c>
      <c r="C77" s="6" t="s">
        <v>300</v>
      </c>
      <c r="D77" s="6" t="s">
        <v>28</v>
      </c>
      <c r="E77" s="6" t="s">
        <v>29</v>
      </c>
      <c r="F77" s="6" t="s">
        <v>96</v>
      </c>
      <c r="G77" s="10">
        <v>0</v>
      </c>
      <c r="H77" s="10">
        <v>29.40441666666667</v>
      </c>
      <c r="I77" s="10">
        <v>9.2371500000000015</v>
      </c>
      <c r="J77" s="10">
        <v>8.0166666666666675</v>
      </c>
      <c r="K77" s="10">
        <v>55.05</v>
      </c>
      <c r="L77" s="10">
        <v>38.85</v>
      </c>
      <c r="M77" s="10">
        <v>92.333333333333329</v>
      </c>
    </row>
    <row r="78" spans="1:13" x14ac:dyDescent="0.25">
      <c r="A78" s="8">
        <v>7</v>
      </c>
      <c r="B78" s="8" t="s">
        <v>111</v>
      </c>
      <c r="C78" s="8" t="s">
        <v>301</v>
      </c>
      <c r="D78" s="8" t="s">
        <v>28</v>
      </c>
      <c r="E78" s="8" t="s">
        <v>29</v>
      </c>
      <c r="F78" s="8" t="s">
        <v>96</v>
      </c>
      <c r="G78" s="11">
        <v>0</v>
      </c>
      <c r="H78" s="11">
        <v>71.083333333333329</v>
      </c>
      <c r="I78" s="11">
        <v>4.05</v>
      </c>
      <c r="J78" s="11">
        <v>11.6</v>
      </c>
      <c r="K78" s="11">
        <v>38.68333333333333</v>
      </c>
      <c r="L78" s="11">
        <v>26.81666666666667</v>
      </c>
      <c r="M78" s="11">
        <v>116.98333333333331</v>
      </c>
    </row>
    <row r="79" spans="1:13" x14ac:dyDescent="0.25">
      <c r="A79" s="6">
        <v>8</v>
      </c>
      <c r="B79" s="6" t="s">
        <v>117</v>
      </c>
      <c r="C79" s="6" t="s">
        <v>300</v>
      </c>
      <c r="D79" s="6" t="s">
        <v>28</v>
      </c>
      <c r="E79" s="6" t="s">
        <v>29</v>
      </c>
      <c r="F79" s="6" t="s">
        <v>96</v>
      </c>
      <c r="G79" s="10">
        <v>0</v>
      </c>
      <c r="H79" s="10">
        <v>12.03333333333333</v>
      </c>
      <c r="I79" s="10">
        <v>4.75</v>
      </c>
      <c r="J79" s="10">
        <v>0</v>
      </c>
      <c r="K79" s="10">
        <v>46.9</v>
      </c>
      <c r="L79" s="10">
        <v>35.549999999999997</v>
      </c>
      <c r="M79" s="10">
        <v>100.5468</v>
      </c>
    </row>
    <row r="80" spans="1:13" x14ac:dyDescent="0.25">
      <c r="A80" s="8">
        <v>8</v>
      </c>
      <c r="B80" s="8" t="s">
        <v>117</v>
      </c>
      <c r="C80" s="8" t="s">
        <v>301</v>
      </c>
      <c r="D80" s="8" t="s">
        <v>28</v>
      </c>
      <c r="E80" s="8" t="s">
        <v>29</v>
      </c>
      <c r="F80" s="8" t="s">
        <v>96</v>
      </c>
      <c r="G80" s="11">
        <v>0</v>
      </c>
      <c r="H80" s="11">
        <v>69.483333333333334</v>
      </c>
      <c r="I80" s="11">
        <v>9.9499999999999993</v>
      </c>
      <c r="J80" s="11">
        <v>1.2666666666666671</v>
      </c>
      <c r="K80" s="11">
        <v>25.12543333333333</v>
      </c>
      <c r="L80" s="11">
        <v>23.43333333333333</v>
      </c>
      <c r="M80" s="11">
        <v>143.44999999999999</v>
      </c>
    </row>
    <row r="81" spans="1:13" x14ac:dyDescent="0.25">
      <c r="A81" s="6">
        <v>9</v>
      </c>
      <c r="B81" s="6" t="s">
        <v>121</v>
      </c>
      <c r="C81" s="6" t="s">
        <v>300</v>
      </c>
      <c r="D81" s="6" t="s">
        <v>28</v>
      </c>
      <c r="E81" s="6" t="s">
        <v>29</v>
      </c>
      <c r="F81" s="6" t="s">
        <v>96</v>
      </c>
      <c r="G81" s="10">
        <v>0</v>
      </c>
      <c r="H81" s="10">
        <v>68.95</v>
      </c>
      <c r="I81" s="10">
        <v>8.15</v>
      </c>
      <c r="J81" s="10">
        <v>8.0166666666666675</v>
      </c>
      <c r="K81" s="10">
        <v>58.3</v>
      </c>
      <c r="L81" s="10">
        <v>42.616666666666667</v>
      </c>
      <c r="M81" s="10">
        <v>113.4713666666667</v>
      </c>
    </row>
    <row r="82" spans="1:13" x14ac:dyDescent="0.25">
      <c r="A82" s="8">
        <v>9</v>
      </c>
      <c r="B82" s="8" t="s">
        <v>121</v>
      </c>
      <c r="C82" s="8" t="s">
        <v>301</v>
      </c>
      <c r="D82" s="8" t="s">
        <v>28</v>
      </c>
      <c r="E82" s="8" t="s">
        <v>29</v>
      </c>
      <c r="F82" s="8" t="s">
        <v>96</v>
      </c>
      <c r="G82" s="11">
        <v>0</v>
      </c>
      <c r="H82" s="11">
        <v>48.18333333333333</v>
      </c>
      <c r="I82" s="11">
        <v>17.666666666666671</v>
      </c>
      <c r="J82" s="11">
        <v>9.9</v>
      </c>
      <c r="K82" s="11">
        <v>51.033333333333331</v>
      </c>
      <c r="L82" s="11">
        <v>37.133333333333333</v>
      </c>
      <c r="M82" s="11">
        <v>121.65</v>
      </c>
    </row>
    <row r="83" spans="1:13" x14ac:dyDescent="0.25">
      <c r="A83" s="6">
        <v>10</v>
      </c>
      <c r="B83" s="6" t="s">
        <v>126</v>
      </c>
      <c r="C83" s="6" t="s">
        <v>300</v>
      </c>
      <c r="D83" s="6" t="s">
        <v>28</v>
      </c>
      <c r="E83" s="6" t="s">
        <v>29</v>
      </c>
      <c r="F83" s="6" t="s">
        <v>96</v>
      </c>
      <c r="G83" s="10">
        <v>0</v>
      </c>
      <c r="H83" s="10">
        <v>35.56666666666667</v>
      </c>
      <c r="I83" s="10">
        <v>26.165716666666661</v>
      </c>
      <c r="J83" s="10">
        <v>2.0499999999999998</v>
      </c>
      <c r="K83" s="10">
        <v>63.035266666666672</v>
      </c>
      <c r="L83" s="10">
        <v>45.45</v>
      </c>
      <c r="M83" s="10">
        <v>75</v>
      </c>
    </row>
    <row r="84" spans="1:13" x14ac:dyDescent="0.25">
      <c r="A84" s="8">
        <v>10</v>
      </c>
      <c r="B84" s="8" t="s">
        <v>126</v>
      </c>
      <c r="C84" s="8" t="s">
        <v>301</v>
      </c>
      <c r="D84" s="8" t="s">
        <v>28</v>
      </c>
      <c r="E84" s="8" t="s">
        <v>29</v>
      </c>
      <c r="F84" s="8" t="s">
        <v>96</v>
      </c>
      <c r="G84" s="11">
        <v>0</v>
      </c>
      <c r="H84" s="11">
        <v>69.483333333333334</v>
      </c>
      <c r="I84" s="11">
        <v>9.9499999999999993</v>
      </c>
      <c r="J84" s="11">
        <v>1.716666666666667</v>
      </c>
      <c r="K84" s="11">
        <v>25.133333333333329</v>
      </c>
      <c r="L84" s="11">
        <v>23.43333333333333</v>
      </c>
      <c r="M84" s="11">
        <v>144.6333333333333</v>
      </c>
    </row>
    <row r="85" spans="1:13" x14ac:dyDescent="0.25">
      <c r="A85" s="6">
        <v>11</v>
      </c>
      <c r="B85" s="6" t="s">
        <v>129</v>
      </c>
      <c r="C85" s="6" t="s">
        <v>300</v>
      </c>
      <c r="D85" s="6" t="s">
        <v>28</v>
      </c>
      <c r="E85" s="6" t="s">
        <v>29</v>
      </c>
      <c r="F85" s="6" t="s">
        <v>130</v>
      </c>
      <c r="G85" s="10">
        <v>0</v>
      </c>
      <c r="H85" s="10">
        <v>43.485533333333343</v>
      </c>
      <c r="I85" s="10">
        <v>7.55</v>
      </c>
      <c r="J85" s="10">
        <v>4.0999999999999996</v>
      </c>
      <c r="K85" s="10">
        <v>52.5</v>
      </c>
      <c r="L85" s="10">
        <v>37.471449999999997</v>
      </c>
      <c r="M85" s="10">
        <v>96.266666666666666</v>
      </c>
    </row>
    <row r="86" spans="1:13" x14ac:dyDescent="0.25">
      <c r="A86" s="8">
        <v>11</v>
      </c>
      <c r="B86" s="8" t="s">
        <v>129</v>
      </c>
      <c r="C86" s="8" t="s">
        <v>301</v>
      </c>
      <c r="D86" s="8" t="s">
        <v>28</v>
      </c>
      <c r="E86" s="8" t="s">
        <v>29</v>
      </c>
      <c r="F86" s="8" t="s">
        <v>130</v>
      </c>
      <c r="G86" s="11">
        <v>0</v>
      </c>
      <c r="H86" s="11">
        <v>36.983333333333327</v>
      </c>
      <c r="I86" s="11">
        <v>4.5</v>
      </c>
      <c r="J86" s="11">
        <v>1.6166666666666669</v>
      </c>
      <c r="K86" s="11">
        <v>42.43333333333333</v>
      </c>
      <c r="L86" s="11">
        <v>34.950000000000003</v>
      </c>
      <c r="M86" s="11">
        <v>121.1324333333333</v>
      </c>
    </row>
    <row r="87" spans="1:13" x14ac:dyDescent="0.25">
      <c r="A87" s="6">
        <v>12</v>
      </c>
      <c r="B87" s="6" t="s">
        <v>136</v>
      </c>
      <c r="C87" s="6" t="s">
        <v>300</v>
      </c>
      <c r="D87" s="6" t="s">
        <v>28</v>
      </c>
      <c r="E87" s="6" t="s">
        <v>29</v>
      </c>
      <c r="F87" s="6" t="s">
        <v>130</v>
      </c>
      <c r="G87" s="10">
        <v>0</v>
      </c>
      <c r="H87" s="10">
        <v>26.368866666666669</v>
      </c>
      <c r="I87" s="10">
        <v>7.3148666666666662</v>
      </c>
      <c r="J87" s="10">
        <v>0</v>
      </c>
      <c r="K87" s="10">
        <v>48.733333333333327</v>
      </c>
      <c r="L87" s="10">
        <v>36.266666666666673</v>
      </c>
      <c r="M87" s="10">
        <v>81.2</v>
      </c>
    </row>
    <row r="88" spans="1:13" x14ac:dyDescent="0.25">
      <c r="A88" s="8">
        <v>12</v>
      </c>
      <c r="B88" s="8" t="s">
        <v>136</v>
      </c>
      <c r="C88" s="8" t="s">
        <v>301</v>
      </c>
      <c r="D88" s="8" t="s">
        <v>28</v>
      </c>
      <c r="E88" s="8" t="s">
        <v>29</v>
      </c>
      <c r="F88" s="8" t="s">
        <v>130</v>
      </c>
      <c r="G88" s="11">
        <v>0</v>
      </c>
      <c r="H88" s="11">
        <v>23.716666666666669</v>
      </c>
      <c r="I88" s="11">
        <v>4.4333333333333336</v>
      </c>
      <c r="J88" s="11">
        <v>9.5500000000000007</v>
      </c>
      <c r="K88" s="11">
        <v>50.65</v>
      </c>
      <c r="L88" s="11">
        <v>34.233333333333327</v>
      </c>
      <c r="M88" s="11">
        <v>109.3</v>
      </c>
    </row>
    <row r="89" spans="1:13" x14ac:dyDescent="0.25">
      <c r="A89" s="6">
        <v>13</v>
      </c>
      <c r="B89" s="6" t="s">
        <v>141</v>
      </c>
      <c r="C89" s="6" t="s">
        <v>300</v>
      </c>
      <c r="D89" s="6" t="s">
        <v>28</v>
      </c>
      <c r="E89" s="6" t="s">
        <v>29</v>
      </c>
      <c r="F89" s="6" t="s">
        <v>130</v>
      </c>
      <c r="G89" s="10">
        <v>0</v>
      </c>
      <c r="H89" s="10">
        <v>32.85</v>
      </c>
      <c r="I89" s="10">
        <v>9.1368999999999989</v>
      </c>
      <c r="J89" s="10">
        <v>5.6833333333333336</v>
      </c>
      <c r="K89" s="10">
        <v>57.616666666666667</v>
      </c>
      <c r="L89" s="10">
        <v>44.190649999999998</v>
      </c>
      <c r="M89" s="10">
        <v>102.23333333333331</v>
      </c>
    </row>
    <row r="90" spans="1:13" x14ac:dyDescent="0.25">
      <c r="A90" s="8">
        <v>13</v>
      </c>
      <c r="B90" s="8" t="s">
        <v>141</v>
      </c>
      <c r="C90" s="8" t="s">
        <v>301</v>
      </c>
      <c r="D90" s="8" t="s">
        <v>28</v>
      </c>
      <c r="E90" s="8" t="s">
        <v>29</v>
      </c>
      <c r="F90" s="8" t="s">
        <v>130</v>
      </c>
      <c r="G90" s="11">
        <v>0</v>
      </c>
      <c r="H90" s="11">
        <v>36.983333333333327</v>
      </c>
      <c r="I90" s="11">
        <v>4.5</v>
      </c>
      <c r="J90" s="11">
        <v>1.6166666666666669</v>
      </c>
      <c r="K90" s="11">
        <v>42.43333333333333</v>
      </c>
      <c r="L90" s="11">
        <v>34.950000000000003</v>
      </c>
      <c r="M90" s="11">
        <v>121.1324333333333</v>
      </c>
    </row>
    <row r="91" spans="1:13" x14ac:dyDescent="0.25">
      <c r="A91" s="6">
        <v>14</v>
      </c>
      <c r="B91" s="6" t="s">
        <v>144</v>
      </c>
      <c r="C91" s="6" t="s">
        <v>300</v>
      </c>
      <c r="D91" s="6" t="s">
        <v>28</v>
      </c>
      <c r="E91" s="6" t="s">
        <v>29</v>
      </c>
      <c r="F91" s="6" t="s">
        <v>130</v>
      </c>
      <c r="G91" s="10">
        <v>0</v>
      </c>
      <c r="H91" s="10">
        <v>35.5</v>
      </c>
      <c r="I91" s="10">
        <v>6.9833333333333334</v>
      </c>
      <c r="J91" s="10">
        <v>4.0999999999999996</v>
      </c>
      <c r="K91" s="10">
        <v>44.283333333333331</v>
      </c>
      <c r="L91" s="10">
        <v>31.216666666666669</v>
      </c>
      <c r="M91" s="10">
        <v>83.670550000000006</v>
      </c>
    </row>
    <row r="92" spans="1:13" x14ac:dyDescent="0.25">
      <c r="A92" s="8">
        <v>14</v>
      </c>
      <c r="B92" s="8" t="s">
        <v>144</v>
      </c>
      <c r="C92" s="8" t="s">
        <v>301</v>
      </c>
      <c r="D92" s="8" t="s">
        <v>28</v>
      </c>
      <c r="E92" s="8" t="s">
        <v>29</v>
      </c>
      <c r="F92" s="8" t="s">
        <v>130</v>
      </c>
      <c r="G92" s="11">
        <v>0</v>
      </c>
      <c r="H92" s="11">
        <v>21.383333333333329</v>
      </c>
      <c r="I92" s="11">
        <v>1</v>
      </c>
      <c r="J92" s="11">
        <v>0</v>
      </c>
      <c r="K92" s="11">
        <v>39.18333333333333</v>
      </c>
      <c r="L92" s="11">
        <v>30.466666666666669</v>
      </c>
      <c r="M92" s="11">
        <v>102.92506666666669</v>
      </c>
    </row>
    <row r="93" spans="1:13" x14ac:dyDescent="0.25">
      <c r="A93" s="6">
        <v>15</v>
      </c>
      <c r="B93" s="6" t="s">
        <v>150</v>
      </c>
      <c r="C93" s="6" t="s">
        <v>300</v>
      </c>
      <c r="D93" s="6" t="s">
        <v>28</v>
      </c>
      <c r="E93" s="6" t="s">
        <v>29</v>
      </c>
      <c r="F93" s="6" t="s">
        <v>130</v>
      </c>
      <c r="G93" s="10">
        <v>0</v>
      </c>
      <c r="H93" s="10">
        <v>34.497033333333327</v>
      </c>
      <c r="I93" s="10">
        <v>3.6833333333333331</v>
      </c>
      <c r="J93" s="10">
        <v>5.2666666666666666</v>
      </c>
      <c r="K93" s="10">
        <v>54.2</v>
      </c>
      <c r="L93" s="10">
        <v>34.928283333333333</v>
      </c>
      <c r="M93" s="10">
        <v>90.466666666666669</v>
      </c>
    </row>
    <row r="94" spans="1:13" x14ac:dyDescent="0.25">
      <c r="A94" s="8">
        <v>15</v>
      </c>
      <c r="B94" s="8" t="s">
        <v>150</v>
      </c>
      <c r="C94" s="8" t="s">
        <v>301</v>
      </c>
      <c r="D94" s="8" t="s">
        <v>28</v>
      </c>
      <c r="E94" s="8" t="s">
        <v>29</v>
      </c>
      <c r="F94" s="8" t="s">
        <v>130</v>
      </c>
      <c r="G94" s="11">
        <v>0</v>
      </c>
      <c r="H94" s="11">
        <v>36.983333333333327</v>
      </c>
      <c r="I94" s="11">
        <v>4.5</v>
      </c>
      <c r="J94" s="11">
        <v>1.6166666666666669</v>
      </c>
      <c r="K94" s="11">
        <v>42.43333333333333</v>
      </c>
      <c r="L94" s="11">
        <v>34.950000000000003</v>
      </c>
      <c r="M94" s="11">
        <v>121.1324333333333</v>
      </c>
    </row>
    <row r="95" spans="1:13" x14ac:dyDescent="0.25">
      <c r="A95" s="6">
        <v>16</v>
      </c>
      <c r="B95" s="6" t="s">
        <v>153</v>
      </c>
      <c r="C95" s="6" t="s">
        <v>300</v>
      </c>
      <c r="D95" s="6" t="s">
        <v>28</v>
      </c>
      <c r="E95" s="6" t="s">
        <v>29</v>
      </c>
      <c r="F95" s="6" t="s">
        <v>130</v>
      </c>
      <c r="G95" s="10">
        <v>0</v>
      </c>
      <c r="H95" s="10">
        <v>43.485533333333343</v>
      </c>
      <c r="I95" s="10">
        <v>9.5500000000000007</v>
      </c>
      <c r="J95" s="10">
        <v>6.7833333333333332</v>
      </c>
      <c r="K95" s="10">
        <v>55.4</v>
      </c>
      <c r="L95" s="10">
        <v>40.216666666666669</v>
      </c>
      <c r="M95" s="10">
        <v>120.6666666666667</v>
      </c>
    </row>
    <row r="96" spans="1:13" x14ac:dyDescent="0.25">
      <c r="A96" s="8">
        <v>16</v>
      </c>
      <c r="B96" s="8" t="s">
        <v>153</v>
      </c>
      <c r="C96" s="8" t="s">
        <v>301</v>
      </c>
      <c r="D96" s="8" t="s">
        <v>28</v>
      </c>
      <c r="E96" s="8" t="s">
        <v>29</v>
      </c>
      <c r="F96" s="8" t="s">
        <v>130</v>
      </c>
      <c r="G96" s="11">
        <v>0</v>
      </c>
      <c r="H96" s="11">
        <v>26.333333333333329</v>
      </c>
      <c r="I96" s="11">
        <v>10.016666666666669</v>
      </c>
      <c r="J96" s="11">
        <v>14.483333333333331</v>
      </c>
      <c r="K96" s="11">
        <v>52.6</v>
      </c>
      <c r="L96" s="11">
        <v>41.9</v>
      </c>
      <c r="M96" s="11">
        <v>146.02638333333331</v>
      </c>
    </row>
    <row r="97" spans="1:13" x14ac:dyDescent="0.25">
      <c r="A97" s="6">
        <v>17</v>
      </c>
      <c r="B97" s="6" t="s">
        <v>158</v>
      </c>
      <c r="C97" s="6" t="s">
        <v>300</v>
      </c>
      <c r="D97" s="6" t="s">
        <v>28</v>
      </c>
      <c r="E97" s="6" t="s">
        <v>29</v>
      </c>
      <c r="F97" s="6" t="s">
        <v>130</v>
      </c>
      <c r="G97" s="10">
        <v>0</v>
      </c>
      <c r="H97" s="10">
        <v>35.1</v>
      </c>
      <c r="I97" s="10">
        <v>12.7</v>
      </c>
      <c r="J97" s="10">
        <v>3.9333333333333331</v>
      </c>
      <c r="K97" s="10">
        <v>68.016666666666666</v>
      </c>
      <c r="L97" s="10">
        <v>51.253116666666664</v>
      </c>
      <c r="M97" s="10">
        <v>71.584483333333338</v>
      </c>
    </row>
    <row r="98" spans="1:13" x14ac:dyDescent="0.25">
      <c r="A98" s="8">
        <v>17</v>
      </c>
      <c r="B98" s="8" t="s">
        <v>158</v>
      </c>
      <c r="C98" s="8" t="s">
        <v>301</v>
      </c>
      <c r="D98" s="8" t="s">
        <v>28</v>
      </c>
      <c r="E98" s="8" t="s">
        <v>29</v>
      </c>
      <c r="F98" s="8" t="s">
        <v>130</v>
      </c>
      <c r="G98" s="11">
        <v>0</v>
      </c>
      <c r="H98" s="11">
        <v>36.983333333333327</v>
      </c>
      <c r="I98" s="11">
        <v>4.5</v>
      </c>
      <c r="J98" s="11">
        <v>1.6166666666666669</v>
      </c>
      <c r="K98" s="11">
        <v>42.43333333333333</v>
      </c>
      <c r="L98" s="11">
        <v>34.950000000000003</v>
      </c>
      <c r="M98" s="11">
        <v>122.04485</v>
      </c>
    </row>
    <row r="99" spans="1:13" x14ac:dyDescent="0.25">
      <c r="A99" s="6">
        <v>18</v>
      </c>
      <c r="B99" s="6" t="s">
        <v>162</v>
      </c>
      <c r="C99" s="6" t="s">
        <v>300</v>
      </c>
      <c r="D99" s="6" t="s">
        <v>28</v>
      </c>
      <c r="E99" s="6" t="s">
        <v>29</v>
      </c>
      <c r="F99" s="6" t="s">
        <v>96</v>
      </c>
      <c r="G99" s="10">
        <v>0</v>
      </c>
      <c r="H99" s="10">
        <v>30.18333333333333</v>
      </c>
      <c r="I99" s="10">
        <v>12.0548</v>
      </c>
      <c r="J99" s="10">
        <v>2.1</v>
      </c>
      <c r="K99" s="10">
        <v>43.833333333333343</v>
      </c>
      <c r="L99" s="10">
        <v>30.25</v>
      </c>
      <c r="M99" s="10">
        <v>87.221950000000007</v>
      </c>
    </row>
    <row r="100" spans="1:13" x14ac:dyDescent="0.25">
      <c r="A100" s="8">
        <v>18</v>
      </c>
      <c r="B100" s="8" t="s">
        <v>162</v>
      </c>
      <c r="C100" s="8" t="s">
        <v>301</v>
      </c>
      <c r="D100" s="8" t="s">
        <v>28</v>
      </c>
      <c r="E100" s="8" t="s">
        <v>29</v>
      </c>
      <c r="F100" s="8" t="s">
        <v>96</v>
      </c>
      <c r="G100" s="11">
        <v>0</v>
      </c>
      <c r="H100" s="11">
        <v>31.8</v>
      </c>
      <c r="I100" s="11">
        <v>0</v>
      </c>
      <c r="J100" s="11">
        <v>1.5</v>
      </c>
      <c r="K100" s="11">
        <v>30.466666666666669</v>
      </c>
      <c r="L100" s="11">
        <v>23</v>
      </c>
      <c r="M100" s="11">
        <v>134.3833333333333</v>
      </c>
    </row>
    <row r="101" spans="1:13" x14ac:dyDescent="0.25">
      <c r="A101" s="6">
        <v>19</v>
      </c>
      <c r="B101" s="6" t="s">
        <v>165</v>
      </c>
      <c r="C101" s="6" t="s">
        <v>300</v>
      </c>
      <c r="D101" s="6" t="s">
        <v>28</v>
      </c>
      <c r="E101" s="6" t="s">
        <v>29</v>
      </c>
      <c r="F101" s="6" t="s">
        <v>96</v>
      </c>
      <c r="G101" s="10">
        <v>0</v>
      </c>
      <c r="H101" s="10">
        <v>30.18333333333333</v>
      </c>
      <c r="I101" s="10">
        <v>13.90325</v>
      </c>
      <c r="J101" s="10">
        <v>4.2333333333333334</v>
      </c>
      <c r="K101" s="10">
        <v>46.35</v>
      </c>
      <c r="L101" s="10">
        <v>31.983333333333331</v>
      </c>
      <c r="M101" s="10">
        <v>93.283333333333331</v>
      </c>
    </row>
    <row r="102" spans="1:13" x14ac:dyDescent="0.25">
      <c r="A102" s="8">
        <v>19</v>
      </c>
      <c r="B102" s="8" t="s">
        <v>165</v>
      </c>
      <c r="C102" s="8" t="s">
        <v>301</v>
      </c>
      <c r="D102" s="8" t="s">
        <v>28</v>
      </c>
      <c r="E102" s="8" t="s">
        <v>29</v>
      </c>
      <c r="F102" s="8" t="s">
        <v>96</v>
      </c>
      <c r="G102" s="11">
        <v>0</v>
      </c>
      <c r="H102" s="11">
        <v>71.083333333333329</v>
      </c>
      <c r="I102" s="11">
        <v>4.05</v>
      </c>
      <c r="J102" s="11">
        <v>11.6</v>
      </c>
      <c r="K102" s="11">
        <v>38.68333333333333</v>
      </c>
      <c r="L102" s="11">
        <v>26.81666666666667</v>
      </c>
      <c r="M102" s="11">
        <v>116.98333333333331</v>
      </c>
    </row>
    <row r="103" spans="1:13" x14ac:dyDescent="0.25">
      <c r="A103" s="6">
        <v>20</v>
      </c>
      <c r="B103" s="6" t="s">
        <v>168</v>
      </c>
      <c r="C103" s="6" t="s">
        <v>300</v>
      </c>
      <c r="D103" s="6" t="s">
        <v>28</v>
      </c>
      <c r="E103" s="6" t="s">
        <v>29</v>
      </c>
      <c r="F103" s="6" t="s">
        <v>96</v>
      </c>
      <c r="G103" s="10">
        <v>0</v>
      </c>
      <c r="H103" s="10">
        <v>8.9333333333333336</v>
      </c>
      <c r="I103" s="10">
        <v>4.7779333333333334</v>
      </c>
      <c r="J103" s="10">
        <v>0</v>
      </c>
      <c r="K103" s="10">
        <v>45.070950000000003</v>
      </c>
      <c r="L103" s="10">
        <v>34.966666666666669</v>
      </c>
      <c r="M103" s="10">
        <v>92.36666666666666</v>
      </c>
    </row>
    <row r="104" spans="1:13" x14ac:dyDescent="0.25">
      <c r="A104" s="8">
        <v>20</v>
      </c>
      <c r="B104" s="8" t="s">
        <v>168</v>
      </c>
      <c r="C104" s="8" t="s">
        <v>301</v>
      </c>
      <c r="D104" s="8" t="s">
        <v>28</v>
      </c>
      <c r="E104" s="8" t="s">
        <v>29</v>
      </c>
      <c r="F104" s="8" t="s">
        <v>96</v>
      </c>
      <c r="G104" s="11">
        <v>0</v>
      </c>
      <c r="H104" s="11">
        <v>31.8</v>
      </c>
      <c r="I104" s="11">
        <v>0</v>
      </c>
      <c r="J104" s="11">
        <v>1.5</v>
      </c>
      <c r="K104" s="11">
        <v>30.466666666666669</v>
      </c>
      <c r="L104" s="11">
        <v>23</v>
      </c>
      <c r="M104" s="11">
        <v>134.3833333333333</v>
      </c>
    </row>
    <row r="105" spans="1:13" x14ac:dyDescent="0.25">
      <c r="A105" s="6">
        <v>21</v>
      </c>
      <c r="B105" s="6" t="s">
        <v>171</v>
      </c>
      <c r="C105" s="6" t="s">
        <v>300</v>
      </c>
      <c r="D105" s="6" t="s">
        <v>28</v>
      </c>
      <c r="E105" s="6" t="s">
        <v>29</v>
      </c>
      <c r="F105" s="6" t="s">
        <v>96</v>
      </c>
      <c r="G105" s="10">
        <v>0</v>
      </c>
      <c r="H105" s="10">
        <v>30.18333333333333</v>
      </c>
      <c r="I105" s="10">
        <v>15.93333333333333</v>
      </c>
      <c r="J105" s="10">
        <v>2.1</v>
      </c>
      <c r="K105" s="10">
        <v>50.65</v>
      </c>
      <c r="L105" s="10">
        <v>37.059549999999987</v>
      </c>
      <c r="M105" s="10">
        <v>99.805283333333335</v>
      </c>
    </row>
    <row r="106" spans="1:13" x14ac:dyDescent="0.25">
      <c r="A106" s="8">
        <v>21</v>
      </c>
      <c r="B106" s="8" t="s">
        <v>171</v>
      </c>
      <c r="C106" s="8" t="s">
        <v>301</v>
      </c>
      <c r="D106" s="8" t="s">
        <v>28</v>
      </c>
      <c r="E106" s="8" t="s">
        <v>29</v>
      </c>
      <c r="F106" s="8" t="s">
        <v>96</v>
      </c>
      <c r="G106" s="11">
        <v>0</v>
      </c>
      <c r="H106" s="11">
        <v>48.18333333333333</v>
      </c>
      <c r="I106" s="11">
        <v>17.666666666666671</v>
      </c>
      <c r="J106" s="11">
        <v>9.9</v>
      </c>
      <c r="K106" s="11">
        <v>51.033333333333331</v>
      </c>
      <c r="L106" s="11">
        <v>37.133333333333333</v>
      </c>
      <c r="M106" s="11">
        <v>121.65</v>
      </c>
    </row>
    <row r="107" spans="1:13" x14ac:dyDescent="0.25">
      <c r="A107" s="6">
        <v>22</v>
      </c>
      <c r="B107" s="6" t="s">
        <v>173</v>
      </c>
      <c r="C107" s="6" t="s">
        <v>300</v>
      </c>
      <c r="D107" s="6" t="s">
        <v>28</v>
      </c>
      <c r="E107" s="6" t="s">
        <v>29</v>
      </c>
      <c r="F107" s="6" t="s">
        <v>96</v>
      </c>
      <c r="G107" s="10">
        <v>0</v>
      </c>
      <c r="H107" s="10">
        <v>30.466666666666669</v>
      </c>
      <c r="I107" s="10">
        <v>18.984083333333331</v>
      </c>
      <c r="J107" s="10">
        <v>2.2999999999999998</v>
      </c>
      <c r="K107" s="10">
        <v>58.605016666666657</v>
      </c>
      <c r="L107" s="10">
        <v>41.15</v>
      </c>
      <c r="M107" s="10">
        <v>69.61666666666666</v>
      </c>
    </row>
    <row r="108" spans="1:13" x14ac:dyDescent="0.25">
      <c r="A108" s="8">
        <v>22</v>
      </c>
      <c r="B108" s="8" t="s">
        <v>173</v>
      </c>
      <c r="C108" s="8" t="s">
        <v>301</v>
      </c>
      <c r="D108" s="8" t="s">
        <v>28</v>
      </c>
      <c r="E108" s="8" t="s">
        <v>29</v>
      </c>
      <c r="F108" s="8" t="s">
        <v>96</v>
      </c>
      <c r="G108" s="11">
        <v>0</v>
      </c>
      <c r="H108" s="11">
        <v>31.8</v>
      </c>
      <c r="I108" s="11">
        <v>0</v>
      </c>
      <c r="J108" s="11">
        <v>1.5</v>
      </c>
      <c r="K108" s="11">
        <v>30.466666666666669</v>
      </c>
      <c r="L108" s="11">
        <v>23</v>
      </c>
      <c r="M108" s="11">
        <v>134.3833333333333</v>
      </c>
    </row>
    <row r="109" spans="1:13" x14ac:dyDescent="0.25">
      <c r="A109" s="6">
        <v>23</v>
      </c>
      <c r="B109" s="6" t="s">
        <v>176</v>
      </c>
      <c r="C109" s="6" t="s">
        <v>300</v>
      </c>
      <c r="D109" s="6" t="s">
        <v>28</v>
      </c>
      <c r="E109" s="6" t="s">
        <v>29</v>
      </c>
      <c r="F109" s="6" t="s">
        <v>130</v>
      </c>
      <c r="G109" s="10">
        <v>0</v>
      </c>
      <c r="H109" s="10">
        <v>24.65</v>
      </c>
      <c r="I109" s="10">
        <v>10.13448333333333</v>
      </c>
      <c r="J109" s="10">
        <v>2.1</v>
      </c>
      <c r="K109" s="10">
        <v>53.916666666666657</v>
      </c>
      <c r="L109" s="10">
        <v>40.75</v>
      </c>
      <c r="M109" s="10">
        <v>91.5</v>
      </c>
    </row>
    <row r="110" spans="1:13" x14ac:dyDescent="0.25">
      <c r="A110" s="8">
        <v>23</v>
      </c>
      <c r="B110" s="8" t="s">
        <v>176</v>
      </c>
      <c r="C110" s="8" t="s">
        <v>301</v>
      </c>
      <c r="D110" s="8" t="s">
        <v>28</v>
      </c>
      <c r="E110" s="8" t="s">
        <v>29</v>
      </c>
      <c r="F110" s="8" t="s">
        <v>130</v>
      </c>
      <c r="G110" s="11">
        <v>0</v>
      </c>
      <c r="H110" s="11">
        <v>23.716666666666669</v>
      </c>
      <c r="I110" s="11">
        <v>4.4333333333333336</v>
      </c>
      <c r="J110" s="11">
        <v>9.5500000000000007</v>
      </c>
      <c r="K110" s="11">
        <v>50.65</v>
      </c>
      <c r="L110" s="11">
        <v>34.233333333333327</v>
      </c>
      <c r="M110" s="11">
        <v>109.3</v>
      </c>
    </row>
    <row r="111" spans="1:13" x14ac:dyDescent="0.25">
      <c r="A111" s="6">
        <v>24</v>
      </c>
      <c r="B111" s="6" t="s">
        <v>178</v>
      </c>
      <c r="C111" s="6" t="s">
        <v>300</v>
      </c>
      <c r="D111" s="6" t="s">
        <v>28</v>
      </c>
      <c r="E111" s="6" t="s">
        <v>29</v>
      </c>
      <c r="F111" s="6" t="s">
        <v>130</v>
      </c>
      <c r="G111" s="10">
        <v>0</v>
      </c>
      <c r="H111" s="10">
        <v>26.583333333333329</v>
      </c>
      <c r="I111" s="10">
        <v>1.261883333333333</v>
      </c>
      <c r="J111" s="10">
        <v>5.35</v>
      </c>
      <c r="K111" s="10">
        <v>50.083333333333343</v>
      </c>
      <c r="L111" s="10">
        <v>38.023983333333327</v>
      </c>
      <c r="M111" s="10">
        <v>85.833333333333329</v>
      </c>
    </row>
    <row r="112" spans="1:13" x14ac:dyDescent="0.25">
      <c r="A112" s="8">
        <v>24</v>
      </c>
      <c r="B112" s="8" t="s">
        <v>178</v>
      </c>
      <c r="C112" s="8" t="s">
        <v>301</v>
      </c>
      <c r="D112" s="8" t="s">
        <v>28</v>
      </c>
      <c r="E112" s="8" t="s">
        <v>29</v>
      </c>
      <c r="F112" s="8" t="s">
        <v>130</v>
      </c>
      <c r="G112" s="11">
        <v>0</v>
      </c>
      <c r="H112" s="11">
        <v>21.383333333333329</v>
      </c>
      <c r="I112" s="11">
        <v>1</v>
      </c>
      <c r="J112" s="11">
        <v>0</v>
      </c>
      <c r="K112" s="11">
        <v>39.18333333333333</v>
      </c>
      <c r="L112" s="11">
        <v>30.466666666666669</v>
      </c>
      <c r="M112" s="11">
        <v>102.4992666666667</v>
      </c>
    </row>
    <row r="113" spans="1:13" x14ac:dyDescent="0.25">
      <c r="A113" s="6">
        <v>25</v>
      </c>
      <c r="B113" s="6" t="s">
        <v>181</v>
      </c>
      <c r="C113" s="6" t="s">
        <v>300</v>
      </c>
      <c r="D113" s="6" t="s">
        <v>28</v>
      </c>
      <c r="E113" s="6" t="s">
        <v>29</v>
      </c>
      <c r="F113" s="6" t="s">
        <v>130</v>
      </c>
      <c r="G113" s="10">
        <v>0</v>
      </c>
      <c r="H113" s="10">
        <v>23.847033333333339</v>
      </c>
      <c r="I113" s="10">
        <v>3.6833333333333331</v>
      </c>
      <c r="J113" s="10">
        <v>0.25</v>
      </c>
      <c r="K113" s="10">
        <v>50.55</v>
      </c>
      <c r="L113" s="10">
        <v>32.700000000000003</v>
      </c>
      <c r="M113" s="10">
        <v>78.960683333333321</v>
      </c>
    </row>
    <row r="114" spans="1:13" x14ac:dyDescent="0.25">
      <c r="A114" s="8">
        <v>25</v>
      </c>
      <c r="B114" s="8" t="s">
        <v>181</v>
      </c>
      <c r="C114" s="8" t="s">
        <v>301</v>
      </c>
      <c r="D114" s="8" t="s">
        <v>28</v>
      </c>
      <c r="E114" s="8" t="s">
        <v>29</v>
      </c>
      <c r="F114" s="8" t="s">
        <v>130</v>
      </c>
      <c r="G114" s="11">
        <v>0</v>
      </c>
      <c r="H114" s="11">
        <v>23.716666666666669</v>
      </c>
      <c r="I114" s="11">
        <v>4.4333333333333336</v>
      </c>
      <c r="J114" s="11">
        <v>9.5500000000000007</v>
      </c>
      <c r="K114" s="11">
        <v>50.65</v>
      </c>
      <c r="L114" s="11">
        <v>34.233333333333327</v>
      </c>
      <c r="M114" s="11">
        <v>109.3</v>
      </c>
    </row>
    <row r="115" spans="1:13" x14ac:dyDescent="0.25">
      <c r="A115" s="6">
        <v>26</v>
      </c>
      <c r="B115" s="6" t="s">
        <v>183</v>
      </c>
      <c r="C115" s="6" t="s">
        <v>300</v>
      </c>
      <c r="D115" s="6" t="s">
        <v>28</v>
      </c>
      <c r="E115" s="6" t="s">
        <v>29</v>
      </c>
      <c r="F115" s="6" t="s">
        <v>130</v>
      </c>
      <c r="G115" s="10">
        <v>0</v>
      </c>
      <c r="H115" s="10">
        <v>32.85</v>
      </c>
      <c r="I115" s="10">
        <v>9.8868999999999989</v>
      </c>
      <c r="J115" s="10">
        <v>7.9333333333333336</v>
      </c>
      <c r="K115" s="10">
        <v>61.06666666666667</v>
      </c>
      <c r="L115" s="10">
        <v>46.8</v>
      </c>
      <c r="M115" s="10">
        <v>122.55</v>
      </c>
    </row>
    <row r="116" spans="1:13" x14ac:dyDescent="0.25">
      <c r="A116" s="8">
        <v>26</v>
      </c>
      <c r="B116" s="8" t="s">
        <v>183</v>
      </c>
      <c r="C116" s="8" t="s">
        <v>301</v>
      </c>
      <c r="D116" s="8" t="s">
        <v>28</v>
      </c>
      <c r="E116" s="8" t="s">
        <v>29</v>
      </c>
      <c r="F116" s="8" t="s">
        <v>130</v>
      </c>
      <c r="G116" s="11">
        <v>0</v>
      </c>
      <c r="H116" s="11">
        <v>26.333333333333329</v>
      </c>
      <c r="I116" s="11">
        <v>10.016666666666669</v>
      </c>
      <c r="J116" s="11">
        <v>14.483333333333331</v>
      </c>
      <c r="K116" s="11">
        <v>52.6</v>
      </c>
      <c r="L116" s="11">
        <v>42.233333333333327</v>
      </c>
      <c r="M116" s="11">
        <v>146.08333333333329</v>
      </c>
    </row>
    <row r="117" spans="1:13" x14ac:dyDescent="0.25">
      <c r="A117" s="6">
        <v>27</v>
      </c>
      <c r="B117" s="6" t="s">
        <v>186</v>
      </c>
      <c r="C117" s="6" t="s">
        <v>300</v>
      </c>
      <c r="D117" s="6" t="s">
        <v>28</v>
      </c>
      <c r="E117" s="6" t="s">
        <v>29</v>
      </c>
      <c r="F117" s="6" t="s">
        <v>130</v>
      </c>
      <c r="G117" s="10">
        <v>0</v>
      </c>
      <c r="H117" s="10">
        <v>31.033333333333331</v>
      </c>
      <c r="I117" s="10">
        <v>10.96666666666667</v>
      </c>
      <c r="J117" s="10">
        <v>2.9333333333333331</v>
      </c>
      <c r="K117" s="10">
        <v>62.68333333333333</v>
      </c>
      <c r="L117" s="10">
        <v>46.940983333333328</v>
      </c>
      <c r="M117" s="10">
        <v>65.351150000000004</v>
      </c>
    </row>
    <row r="118" spans="1:13" x14ac:dyDescent="0.25">
      <c r="A118" s="8">
        <v>27</v>
      </c>
      <c r="B118" s="8" t="s">
        <v>186</v>
      </c>
      <c r="C118" s="8" t="s">
        <v>301</v>
      </c>
      <c r="D118" s="8" t="s">
        <v>28</v>
      </c>
      <c r="E118" s="8" t="s">
        <v>29</v>
      </c>
      <c r="F118" s="8" t="s">
        <v>130</v>
      </c>
      <c r="G118" s="11">
        <v>0</v>
      </c>
      <c r="H118" s="11">
        <v>23.716666666666669</v>
      </c>
      <c r="I118" s="11">
        <v>4.4333333333333336</v>
      </c>
      <c r="J118" s="11">
        <v>9.5500000000000007</v>
      </c>
      <c r="K118" s="11">
        <v>50.65</v>
      </c>
      <c r="L118" s="11">
        <v>34.233333333333327</v>
      </c>
      <c r="M118" s="11">
        <v>109.3</v>
      </c>
    </row>
    <row r="119" spans="1:13" x14ac:dyDescent="0.25">
      <c r="A119" s="6">
        <v>28</v>
      </c>
      <c r="B119" s="6" t="s">
        <v>188</v>
      </c>
      <c r="C119" s="6" t="s">
        <v>300</v>
      </c>
      <c r="D119" s="6" t="s">
        <v>28</v>
      </c>
      <c r="E119" s="6" t="s">
        <v>29</v>
      </c>
      <c r="F119" s="6" t="s">
        <v>96</v>
      </c>
      <c r="G119" s="10">
        <v>0</v>
      </c>
      <c r="H119" s="10">
        <v>8.9333333333333336</v>
      </c>
      <c r="I119" s="10">
        <v>5.4188666666666672</v>
      </c>
      <c r="J119" s="10">
        <v>0</v>
      </c>
      <c r="K119" s="10">
        <v>46.883333333333333</v>
      </c>
      <c r="L119" s="10">
        <v>35.666666666666657</v>
      </c>
      <c r="M119" s="10">
        <v>98.5</v>
      </c>
    </row>
    <row r="120" spans="1:13" x14ac:dyDescent="0.25">
      <c r="A120" s="8">
        <v>28</v>
      </c>
      <c r="B120" s="8" t="s">
        <v>188</v>
      </c>
      <c r="C120" s="8" t="s">
        <v>301</v>
      </c>
      <c r="D120" s="8" t="s">
        <v>28</v>
      </c>
      <c r="E120" s="8" t="s">
        <v>29</v>
      </c>
      <c r="F120" s="8" t="s">
        <v>96</v>
      </c>
      <c r="G120" s="11">
        <v>0</v>
      </c>
      <c r="H120" s="11">
        <v>71.083333333333329</v>
      </c>
      <c r="I120" s="11">
        <v>4.05</v>
      </c>
      <c r="J120" s="11">
        <v>9.2465500000000009</v>
      </c>
      <c r="K120" s="11">
        <v>38.68333333333333</v>
      </c>
      <c r="L120" s="11">
        <v>26.81666666666667</v>
      </c>
      <c r="M120" s="11">
        <v>116.98333333333331</v>
      </c>
    </row>
    <row r="121" spans="1:13" x14ac:dyDescent="0.25">
      <c r="A121" s="6">
        <v>29</v>
      </c>
      <c r="B121" s="6" t="s">
        <v>192</v>
      </c>
      <c r="C121" s="6" t="s">
        <v>300</v>
      </c>
      <c r="D121" s="6" t="s">
        <v>28</v>
      </c>
      <c r="E121" s="6" t="s">
        <v>29</v>
      </c>
      <c r="F121" s="6" t="s">
        <v>96</v>
      </c>
      <c r="G121" s="10">
        <v>0</v>
      </c>
      <c r="H121" s="10">
        <v>12.03333333333333</v>
      </c>
      <c r="I121" s="10">
        <v>4.916666666666667</v>
      </c>
      <c r="J121" s="10">
        <v>0</v>
      </c>
      <c r="K121" s="10">
        <v>47.070950000000003</v>
      </c>
      <c r="L121" s="10">
        <v>35.883333333333333</v>
      </c>
      <c r="M121" s="10">
        <v>102.55</v>
      </c>
    </row>
    <row r="122" spans="1:13" x14ac:dyDescent="0.25">
      <c r="A122" s="8">
        <v>29</v>
      </c>
      <c r="B122" s="8" t="s">
        <v>192</v>
      </c>
      <c r="C122" s="8" t="s">
        <v>301</v>
      </c>
      <c r="D122" s="8" t="s">
        <v>28</v>
      </c>
      <c r="E122" s="8" t="s">
        <v>29</v>
      </c>
      <c r="F122" s="8" t="s">
        <v>96</v>
      </c>
      <c r="G122" s="11">
        <v>0</v>
      </c>
      <c r="H122" s="11">
        <v>48.18333333333333</v>
      </c>
      <c r="I122" s="11">
        <v>13.66666666666667</v>
      </c>
      <c r="J122" s="11">
        <v>8.5500000000000007</v>
      </c>
      <c r="K122" s="11">
        <v>47.504249999999999</v>
      </c>
      <c r="L122" s="11">
        <v>34.783333333333331</v>
      </c>
      <c r="M122" s="11">
        <v>114.05</v>
      </c>
    </row>
    <row r="123" spans="1:13" x14ac:dyDescent="0.25">
      <c r="A123" s="6">
        <v>30</v>
      </c>
      <c r="B123" s="6" t="s">
        <v>194</v>
      </c>
      <c r="C123" s="6" t="s">
        <v>300</v>
      </c>
      <c r="D123" s="6" t="s">
        <v>28</v>
      </c>
      <c r="E123" s="6" t="s">
        <v>29</v>
      </c>
      <c r="F123" s="6" t="s">
        <v>96</v>
      </c>
      <c r="G123" s="10">
        <v>0</v>
      </c>
      <c r="H123" s="10">
        <v>45.166666666666657</v>
      </c>
      <c r="I123" s="10">
        <v>26.670683333333329</v>
      </c>
      <c r="J123" s="10">
        <v>2.8833333333333329</v>
      </c>
      <c r="K123" s="10">
        <v>61.423199999999987</v>
      </c>
      <c r="L123" s="10">
        <v>44.016666666666673</v>
      </c>
      <c r="M123" s="10">
        <v>75.583333333333329</v>
      </c>
    </row>
    <row r="124" spans="1:13" x14ac:dyDescent="0.25">
      <c r="A124" s="8">
        <v>30</v>
      </c>
      <c r="B124" s="8" t="s">
        <v>194</v>
      </c>
      <c r="C124" s="8" t="s">
        <v>301</v>
      </c>
      <c r="D124" s="8" t="s">
        <v>28</v>
      </c>
      <c r="E124" s="8" t="s">
        <v>29</v>
      </c>
      <c r="F124" s="8" t="s">
        <v>96</v>
      </c>
      <c r="G124" s="11">
        <v>0</v>
      </c>
      <c r="H124" s="11">
        <v>71.083333333333329</v>
      </c>
      <c r="I124" s="11">
        <v>4.05</v>
      </c>
      <c r="J124" s="11">
        <v>7.6833333333333336</v>
      </c>
      <c r="K124" s="11">
        <v>38.68333333333333</v>
      </c>
      <c r="L124" s="11">
        <v>26.81666666666667</v>
      </c>
      <c r="M124" s="11">
        <v>117.31331666666669</v>
      </c>
    </row>
    <row r="125" spans="1:13" x14ac:dyDescent="0.25">
      <c r="A125" s="6">
        <v>31</v>
      </c>
      <c r="B125" s="6" t="s">
        <v>198</v>
      </c>
      <c r="C125" s="6" t="s">
        <v>300</v>
      </c>
      <c r="D125" s="6" t="s">
        <v>28</v>
      </c>
      <c r="E125" s="6" t="s">
        <v>29</v>
      </c>
      <c r="F125" s="6" t="s">
        <v>130</v>
      </c>
      <c r="G125" s="10">
        <v>0</v>
      </c>
      <c r="H125" s="10">
        <v>29.483333333333331</v>
      </c>
      <c r="I125" s="10">
        <v>0.1105833333333333</v>
      </c>
      <c r="J125" s="10">
        <v>5.2666666666666666</v>
      </c>
      <c r="K125" s="10">
        <v>45.483333333333327</v>
      </c>
      <c r="L125" s="10">
        <v>28.733333333333331</v>
      </c>
      <c r="M125" s="10">
        <v>78.575700000000012</v>
      </c>
    </row>
    <row r="126" spans="1:13" x14ac:dyDescent="0.25">
      <c r="A126" s="8">
        <v>31</v>
      </c>
      <c r="B126" s="8" t="s">
        <v>198</v>
      </c>
      <c r="C126" s="8" t="s">
        <v>301</v>
      </c>
      <c r="D126" s="8" t="s">
        <v>28</v>
      </c>
      <c r="E126" s="8" t="s">
        <v>29</v>
      </c>
      <c r="F126" s="8" t="s">
        <v>130</v>
      </c>
      <c r="G126" s="11">
        <v>0</v>
      </c>
      <c r="H126" s="11">
        <v>21.383333333333329</v>
      </c>
      <c r="I126" s="11">
        <v>1</v>
      </c>
      <c r="J126" s="11">
        <v>0</v>
      </c>
      <c r="K126" s="11">
        <v>39.18333333333333</v>
      </c>
      <c r="L126" s="11">
        <v>30.466666666666669</v>
      </c>
      <c r="M126" s="11">
        <v>102.92506666666669</v>
      </c>
    </row>
    <row r="127" spans="1:13" x14ac:dyDescent="0.25">
      <c r="A127" s="6">
        <v>32</v>
      </c>
      <c r="B127" s="6" t="s">
        <v>201</v>
      </c>
      <c r="C127" s="6" t="s">
        <v>300</v>
      </c>
      <c r="D127" s="6" t="s">
        <v>28</v>
      </c>
      <c r="E127" s="6" t="s">
        <v>35</v>
      </c>
      <c r="F127" s="6" t="s">
        <v>76</v>
      </c>
      <c r="G127" s="10">
        <v>23.4</v>
      </c>
      <c r="H127" s="10">
        <v>37.616666666666667</v>
      </c>
      <c r="I127" s="10">
        <v>0</v>
      </c>
      <c r="J127" s="10">
        <v>0.58333333333333337</v>
      </c>
      <c r="K127" s="10">
        <v>58.389133333333326</v>
      </c>
      <c r="L127" s="10">
        <v>47.783333333333331</v>
      </c>
      <c r="M127" s="10">
        <v>188.35</v>
      </c>
    </row>
    <row r="128" spans="1:13" x14ac:dyDescent="0.25">
      <c r="A128" s="8">
        <v>32</v>
      </c>
      <c r="B128" s="8" t="s">
        <v>201</v>
      </c>
      <c r="C128" s="8" t="s">
        <v>301</v>
      </c>
      <c r="D128" s="8" t="s">
        <v>28</v>
      </c>
      <c r="E128" s="8" t="s">
        <v>35</v>
      </c>
      <c r="F128" s="8" t="s">
        <v>76</v>
      </c>
      <c r="G128" s="11">
        <v>0</v>
      </c>
      <c r="H128" s="11">
        <v>18.100000000000001</v>
      </c>
      <c r="I128" s="11">
        <v>6.6666666666666666E-2</v>
      </c>
      <c r="J128" s="11">
        <v>1.75</v>
      </c>
      <c r="K128" s="11">
        <v>61.95</v>
      </c>
      <c r="L128" s="11">
        <v>44.95</v>
      </c>
      <c r="M128" s="11">
        <v>206.6166666666667</v>
      </c>
    </row>
    <row r="129" spans="1:13" x14ac:dyDescent="0.25">
      <c r="A129" s="6">
        <v>33</v>
      </c>
      <c r="B129" s="6" t="s">
        <v>205</v>
      </c>
      <c r="C129" s="6" t="s">
        <v>300</v>
      </c>
      <c r="D129" s="6" t="s">
        <v>28</v>
      </c>
      <c r="E129" s="6" t="s">
        <v>35</v>
      </c>
      <c r="F129" s="6" t="s">
        <v>76</v>
      </c>
      <c r="G129" s="10">
        <v>23.4</v>
      </c>
      <c r="H129" s="10">
        <v>37.616666666666667</v>
      </c>
      <c r="I129" s="10">
        <v>0</v>
      </c>
      <c r="J129" s="10">
        <v>0.58333333333333337</v>
      </c>
      <c r="K129" s="10">
        <v>56.670316666666658</v>
      </c>
      <c r="L129" s="10">
        <v>46.800916666666673</v>
      </c>
      <c r="M129" s="10">
        <v>184.98333333333329</v>
      </c>
    </row>
    <row r="130" spans="1:13" x14ac:dyDescent="0.25">
      <c r="A130" s="8">
        <v>33</v>
      </c>
      <c r="B130" s="8" t="s">
        <v>205</v>
      </c>
      <c r="C130" s="8" t="s">
        <v>301</v>
      </c>
      <c r="D130" s="8" t="s">
        <v>28</v>
      </c>
      <c r="E130" s="8" t="s">
        <v>35</v>
      </c>
      <c r="F130" s="8" t="s">
        <v>76</v>
      </c>
      <c r="G130" s="11">
        <v>0</v>
      </c>
      <c r="H130" s="11">
        <v>16.43333333333333</v>
      </c>
      <c r="I130" s="11">
        <v>8.7333333333333325</v>
      </c>
      <c r="J130" s="11">
        <v>5.083333333333333</v>
      </c>
      <c r="K130" s="11">
        <v>63.81666666666667</v>
      </c>
      <c r="L130" s="11">
        <v>46.866666666666667</v>
      </c>
      <c r="M130" s="11">
        <v>176.3828666666667</v>
      </c>
    </row>
    <row r="131" spans="1:13" x14ac:dyDescent="0.25">
      <c r="A131" s="6">
        <v>34</v>
      </c>
      <c r="B131" s="6" t="s">
        <v>210</v>
      </c>
      <c r="C131" s="6" t="s">
        <v>300</v>
      </c>
      <c r="D131" s="6" t="s">
        <v>28</v>
      </c>
      <c r="E131" s="6" t="s">
        <v>29</v>
      </c>
      <c r="F131" s="6" t="s">
        <v>130</v>
      </c>
      <c r="G131" s="10">
        <v>0</v>
      </c>
      <c r="H131" s="10">
        <v>34.497033333333327</v>
      </c>
      <c r="I131" s="10">
        <v>3.6833333333333331</v>
      </c>
      <c r="J131" s="10">
        <v>7.35</v>
      </c>
      <c r="K131" s="10">
        <v>57.55</v>
      </c>
      <c r="L131" s="10">
        <v>37.366666666666667</v>
      </c>
      <c r="M131" s="10">
        <v>112.4</v>
      </c>
    </row>
    <row r="132" spans="1:13" x14ac:dyDescent="0.25">
      <c r="A132" s="8">
        <v>34</v>
      </c>
      <c r="B132" s="8" t="s">
        <v>210</v>
      </c>
      <c r="C132" s="8" t="s">
        <v>301</v>
      </c>
      <c r="D132" s="8" t="s">
        <v>28</v>
      </c>
      <c r="E132" s="8" t="s">
        <v>29</v>
      </c>
      <c r="F132" s="8" t="s">
        <v>130</v>
      </c>
      <c r="G132" s="11">
        <v>0</v>
      </c>
      <c r="H132" s="11">
        <v>26.333333333333329</v>
      </c>
      <c r="I132" s="11">
        <v>10.016666666666669</v>
      </c>
      <c r="J132" s="11">
        <v>14.483333333333331</v>
      </c>
      <c r="K132" s="11">
        <v>52.6</v>
      </c>
      <c r="L132" s="11">
        <v>42.233333333333327</v>
      </c>
      <c r="M132" s="11">
        <v>146.08333333333329</v>
      </c>
    </row>
    <row r="133" spans="1:13" x14ac:dyDescent="0.25">
      <c r="A133" s="6">
        <v>35</v>
      </c>
      <c r="B133" s="6" t="s">
        <v>212</v>
      </c>
      <c r="C133" s="6" t="s">
        <v>300</v>
      </c>
      <c r="D133" s="6" t="s">
        <v>28</v>
      </c>
      <c r="E133" s="6" t="s">
        <v>29</v>
      </c>
      <c r="F133" s="6" t="s">
        <v>130</v>
      </c>
      <c r="G133" s="10">
        <v>0</v>
      </c>
      <c r="H133" s="10">
        <v>20.65</v>
      </c>
      <c r="I133" s="10">
        <v>8.668333333333333</v>
      </c>
      <c r="J133" s="10">
        <v>2.9833333333333329</v>
      </c>
      <c r="K133" s="10">
        <v>56.783333333333331</v>
      </c>
      <c r="L133" s="10">
        <v>43.369783333333331</v>
      </c>
      <c r="M133" s="10">
        <v>62.483333333333327</v>
      </c>
    </row>
    <row r="134" spans="1:13" x14ac:dyDescent="0.25">
      <c r="A134" s="8">
        <v>35</v>
      </c>
      <c r="B134" s="8" t="s">
        <v>212</v>
      </c>
      <c r="C134" s="8" t="s">
        <v>301</v>
      </c>
      <c r="D134" s="8" t="s">
        <v>28</v>
      </c>
      <c r="E134" s="8" t="s">
        <v>29</v>
      </c>
      <c r="F134" s="8" t="s">
        <v>130</v>
      </c>
      <c r="G134" s="11">
        <v>0</v>
      </c>
      <c r="H134" s="11">
        <v>21.383333333333329</v>
      </c>
      <c r="I134" s="11">
        <v>1</v>
      </c>
      <c r="J134" s="11">
        <v>0</v>
      </c>
      <c r="K134" s="11">
        <v>39.18333333333333</v>
      </c>
      <c r="L134" s="11">
        <v>30.466666666666669</v>
      </c>
      <c r="M134" s="11">
        <v>102.92506666666669</v>
      </c>
    </row>
    <row r="135" spans="1:13" x14ac:dyDescent="0.25">
      <c r="A135" s="6">
        <v>36</v>
      </c>
      <c r="B135" s="6" t="s">
        <v>214</v>
      </c>
      <c r="C135" s="6" t="s">
        <v>300</v>
      </c>
      <c r="D135" s="6" t="s">
        <v>28</v>
      </c>
      <c r="E135" s="6" t="s">
        <v>35</v>
      </c>
      <c r="F135" s="6" t="s">
        <v>88</v>
      </c>
      <c r="G135" s="10">
        <v>40.299999999999997</v>
      </c>
      <c r="H135" s="10">
        <v>46.846666666666671</v>
      </c>
      <c r="I135" s="10">
        <v>23.25</v>
      </c>
      <c r="J135" s="10">
        <v>14.68333333333333</v>
      </c>
      <c r="K135" s="10">
        <v>52.483333333333327</v>
      </c>
      <c r="L135" s="10">
        <v>45.116666666666667</v>
      </c>
      <c r="M135" s="10">
        <v>254.94114999999999</v>
      </c>
    </row>
    <row r="136" spans="1:13" x14ac:dyDescent="0.25">
      <c r="A136" s="8">
        <v>36</v>
      </c>
      <c r="B136" s="8" t="s">
        <v>214</v>
      </c>
      <c r="C136" s="8" t="s">
        <v>301</v>
      </c>
      <c r="D136" s="8" t="s">
        <v>28</v>
      </c>
      <c r="E136" s="8" t="s">
        <v>35</v>
      </c>
      <c r="F136" s="8" t="s">
        <v>88</v>
      </c>
      <c r="G136" s="11">
        <v>0</v>
      </c>
      <c r="H136" s="11">
        <v>35.983333333333327</v>
      </c>
      <c r="I136" s="11">
        <v>0.35</v>
      </c>
      <c r="J136" s="11">
        <v>4.166666666666667</v>
      </c>
      <c r="K136" s="11">
        <v>65.36666666666666</v>
      </c>
      <c r="L136" s="11">
        <v>52.466666666666669</v>
      </c>
      <c r="M136" s="11">
        <v>209.75</v>
      </c>
    </row>
    <row r="137" spans="1:13" x14ac:dyDescent="0.25">
      <c r="A137" s="6">
        <v>37</v>
      </c>
      <c r="B137" s="6" t="s">
        <v>218</v>
      </c>
      <c r="C137" s="6" t="s">
        <v>300</v>
      </c>
      <c r="D137" s="6" t="s">
        <v>28</v>
      </c>
      <c r="E137" s="6" t="s">
        <v>35</v>
      </c>
      <c r="F137" s="6" t="s">
        <v>76</v>
      </c>
      <c r="G137" s="10">
        <v>20.983333333333331</v>
      </c>
      <c r="H137" s="10">
        <v>3.666666666666667</v>
      </c>
      <c r="I137" s="10">
        <v>3.0333333333333332</v>
      </c>
      <c r="J137" s="10">
        <v>7.2833333333333332</v>
      </c>
      <c r="K137" s="10">
        <v>33.003716666666669</v>
      </c>
      <c r="L137" s="10">
        <v>29.65</v>
      </c>
      <c r="M137" s="10">
        <v>163.76666666666671</v>
      </c>
    </row>
    <row r="138" spans="1:13" x14ac:dyDescent="0.25">
      <c r="A138" s="8">
        <v>37</v>
      </c>
      <c r="B138" s="8" t="s">
        <v>218</v>
      </c>
      <c r="C138" s="8" t="s">
        <v>301</v>
      </c>
      <c r="D138" s="8" t="s">
        <v>28</v>
      </c>
      <c r="E138" s="8" t="s">
        <v>35</v>
      </c>
      <c r="F138" s="8" t="s">
        <v>76</v>
      </c>
      <c r="G138" s="11">
        <v>0</v>
      </c>
      <c r="H138" s="11">
        <v>16.43333333333333</v>
      </c>
      <c r="I138" s="11">
        <v>6.3166666666666664</v>
      </c>
      <c r="J138" s="11">
        <v>5</v>
      </c>
      <c r="K138" s="11">
        <v>46.8</v>
      </c>
      <c r="L138" s="11">
        <v>33.416666666666657</v>
      </c>
      <c r="M138" s="11">
        <v>136.9743</v>
      </c>
    </row>
    <row r="139" spans="1:13" x14ac:dyDescent="0.25">
      <c r="A139" s="6">
        <v>38</v>
      </c>
      <c r="B139" s="6" t="s">
        <v>223</v>
      </c>
      <c r="C139" s="6" t="s">
        <v>300</v>
      </c>
      <c r="D139" s="6" t="s">
        <v>28</v>
      </c>
      <c r="E139" s="6" t="s">
        <v>31</v>
      </c>
      <c r="F139" s="6" t="s">
        <v>31</v>
      </c>
      <c r="G139" s="10">
        <v>50.366666666666667</v>
      </c>
      <c r="H139" s="10">
        <v>8.3666666666666671</v>
      </c>
      <c r="I139" s="10">
        <v>17.350000000000001</v>
      </c>
      <c r="J139" s="10">
        <v>4.75</v>
      </c>
      <c r="K139" s="10">
        <v>75.683333333333337</v>
      </c>
      <c r="L139" s="10">
        <v>57.18333333333333</v>
      </c>
      <c r="M139" s="10">
        <v>181.3</v>
      </c>
    </row>
    <row r="140" spans="1:13" x14ac:dyDescent="0.25">
      <c r="A140" s="8">
        <v>38</v>
      </c>
      <c r="B140" s="8" t="s">
        <v>223</v>
      </c>
      <c r="C140" s="8" t="s">
        <v>301</v>
      </c>
      <c r="D140" s="8" t="s">
        <v>28</v>
      </c>
      <c r="E140" s="8" t="s">
        <v>31</v>
      </c>
      <c r="F140" s="8" t="s">
        <v>31</v>
      </c>
      <c r="G140" s="11">
        <v>0</v>
      </c>
      <c r="H140" s="11">
        <v>42.65</v>
      </c>
      <c r="I140" s="11">
        <v>4.45</v>
      </c>
      <c r="J140" s="11">
        <v>12.016666666666669</v>
      </c>
      <c r="K140" s="11">
        <v>57.411516666666657</v>
      </c>
      <c r="L140" s="11">
        <v>49.6</v>
      </c>
      <c r="M140" s="11">
        <v>208.83333333333329</v>
      </c>
    </row>
    <row r="141" spans="1:13" x14ac:dyDescent="0.25">
      <c r="A141" s="6">
        <v>39</v>
      </c>
      <c r="B141" s="6" t="s">
        <v>229</v>
      </c>
      <c r="C141" s="6" t="s">
        <v>300</v>
      </c>
      <c r="D141" s="6" t="s">
        <v>28</v>
      </c>
      <c r="E141" s="6" t="s">
        <v>31</v>
      </c>
      <c r="F141" s="6" t="s">
        <v>31</v>
      </c>
      <c r="G141" s="10">
        <v>50.366666666666667</v>
      </c>
      <c r="H141" s="10">
        <v>8.3666666666666671</v>
      </c>
      <c r="I141" s="10">
        <v>17.350000000000001</v>
      </c>
      <c r="J141" s="10">
        <v>4.583333333333333</v>
      </c>
      <c r="K141" s="10">
        <v>74.783333333333331</v>
      </c>
      <c r="L141" s="10">
        <v>56.437600000000003</v>
      </c>
      <c r="M141" s="10">
        <v>180.48333333333329</v>
      </c>
    </row>
    <row r="142" spans="1:13" x14ac:dyDescent="0.25">
      <c r="A142" s="8">
        <v>39</v>
      </c>
      <c r="B142" s="8" t="s">
        <v>229</v>
      </c>
      <c r="C142" s="8" t="s">
        <v>301</v>
      </c>
      <c r="D142" s="8" t="s">
        <v>28</v>
      </c>
      <c r="E142" s="8" t="s">
        <v>31</v>
      </c>
      <c r="F142" s="8" t="s">
        <v>31</v>
      </c>
      <c r="G142" s="11">
        <v>0</v>
      </c>
      <c r="H142" s="11">
        <v>62.766666666666673</v>
      </c>
      <c r="I142" s="11">
        <v>7.8833333333333337</v>
      </c>
      <c r="J142" s="11">
        <v>2.9833333333333329</v>
      </c>
      <c r="K142" s="11">
        <v>67.358066666666659</v>
      </c>
      <c r="L142" s="11">
        <v>47.916666666666657</v>
      </c>
      <c r="M142" s="11">
        <v>222.97454999999999</v>
      </c>
    </row>
    <row r="143" spans="1:13" x14ac:dyDescent="0.25">
      <c r="A143" s="6">
        <v>40</v>
      </c>
      <c r="B143" s="6" t="s">
        <v>234</v>
      </c>
      <c r="C143" s="6" t="s">
        <v>300</v>
      </c>
      <c r="D143" s="6" t="s">
        <v>28</v>
      </c>
      <c r="E143" s="6" t="s">
        <v>31</v>
      </c>
      <c r="F143" s="6" t="s">
        <v>31</v>
      </c>
      <c r="G143" s="10">
        <v>50.366666666666667</v>
      </c>
      <c r="H143" s="10">
        <v>8.3666666666666671</v>
      </c>
      <c r="I143" s="10">
        <v>17.350000000000001</v>
      </c>
      <c r="J143" s="10">
        <v>4.75</v>
      </c>
      <c r="K143" s="10">
        <v>75.683333333333337</v>
      </c>
      <c r="L143" s="10">
        <v>57.18333333333333</v>
      </c>
      <c r="M143" s="10">
        <v>181.3</v>
      </c>
    </row>
    <row r="144" spans="1:13" x14ac:dyDescent="0.25">
      <c r="A144" s="8">
        <v>40</v>
      </c>
      <c r="B144" s="8" t="s">
        <v>234</v>
      </c>
      <c r="C144" s="8" t="s">
        <v>301</v>
      </c>
      <c r="D144" s="8" t="s">
        <v>28</v>
      </c>
      <c r="E144" s="8" t="s">
        <v>31</v>
      </c>
      <c r="F144" s="8" t="s">
        <v>31</v>
      </c>
      <c r="G144" s="11">
        <v>0</v>
      </c>
      <c r="H144" s="11">
        <v>3.0166666666666671</v>
      </c>
      <c r="I144" s="11">
        <v>4.3</v>
      </c>
      <c r="J144" s="11">
        <v>1.8833333333333331</v>
      </c>
      <c r="K144" s="11">
        <v>49.166666666666657</v>
      </c>
      <c r="L144" s="11">
        <v>35.333333333333343</v>
      </c>
      <c r="M144" s="11">
        <v>225.80481666666671</v>
      </c>
    </row>
    <row r="145" spans="1:13" x14ac:dyDescent="0.25">
      <c r="A145" s="6">
        <v>41</v>
      </c>
      <c r="B145" s="6" t="s">
        <v>238</v>
      </c>
      <c r="C145" s="6" t="s">
        <v>300</v>
      </c>
      <c r="D145" s="6" t="s">
        <v>28</v>
      </c>
      <c r="E145" s="6" t="s">
        <v>31</v>
      </c>
      <c r="F145" s="6" t="s">
        <v>31</v>
      </c>
      <c r="G145" s="10">
        <v>44.68333333333333</v>
      </c>
      <c r="H145" s="10">
        <v>6.6833333333333336</v>
      </c>
      <c r="I145" s="10">
        <v>11.75</v>
      </c>
      <c r="J145" s="10">
        <v>2.0166666666666671</v>
      </c>
      <c r="K145" s="10">
        <v>64.3</v>
      </c>
      <c r="L145" s="10">
        <v>51.866666666666667</v>
      </c>
      <c r="M145" s="10">
        <v>172.54785000000001</v>
      </c>
    </row>
    <row r="146" spans="1:13" x14ac:dyDescent="0.25">
      <c r="A146" s="8">
        <v>41</v>
      </c>
      <c r="B146" s="8" t="s">
        <v>238</v>
      </c>
      <c r="C146" s="8" t="s">
        <v>301</v>
      </c>
      <c r="D146" s="8" t="s">
        <v>28</v>
      </c>
      <c r="E146" s="8" t="s">
        <v>31</v>
      </c>
      <c r="F146" s="8" t="s">
        <v>31</v>
      </c>
      <c r="G146" s="11">
        <v>0</v>
      </c>
      <c r="H146" s="11">
        <v>42.65</v>
      </c>
      <c r="I146" s="11">
        <v>4.45</v>
      </c>
      <c r="J146" s="11">
        <v>12.016666666666669</v>
      </c>
      <c r="K146" s="11">
        <v>56.916666666666657</v>
      </c>
      <c r="L146" s="11">
        <v>49.017066666666658</v>
      </c>
      <c r="M146" s="11">
        <v>207.5</v>
      </c>
    </row>
    <row r="147" spans="1:13" x14ac:dyDescent="0.25">
      <c r="A147" s="6">
        <v>42</v>
      </c>
      <c r="B147" s="6" t="s">
        <v>242</v>
      </c>
      <c r="C147" s="6" t="s">
        <v>300</v>
      </c>
      <c r="D147" s="6" t="s">
        <v>28</v>
      </c>
      <c r="E147" s="6" t="s">
        <v>33</v>
      </c>
      <c r="F147" s="6" t="s">
        <v>33</v>
      </c>
      <c r="G147" s="10">
        <v>63.2</v>
      </c>
      <c r="H147" s="10">
        <v>14.516666666666669</v>
      </c>
      <c r="I147" s="10">
        <v>29.516666666666669</v>
      </c>
      <c r="J147" s="10">
        <v>6.8833333333333337</v>
      </c>
      <c r="K147" s="10">
        <v>69.25</v>
      </c>
      <c r="L147" s="10">
        <v>57.887300000000003</v>
      </c>
      <c r="M147" s="10">
        <v>164.51666666666671</v>
      </c>
    </row>
    <row r="148" spans="1:13" x14ac:dyDescent="0.25">
      <c r="A148" s="8">
        <v>42</v>
      </c>
      <c r="B148" s="8" t="s">
        <v>242</v>
      </c>
      <c r="C148" s="8" t="s">
        <v>301</v>
      </c>
      <c r="D148" s="8" t="s">
        <v>28</v>
      </c>
      <c r="E148" s="8" t="s">
        <v>33</v>
      </c>
      <c r="F148" s="8" t="s">
        <v>33</v>
      </c>
      <c r="G148" s="11">
        <v>0</v>
      </c>
      <c r="H148" s="11">
        <v>20.583333333333329</v>
      </c>
      <c r="I148" s="11">
        <v>2.833333333333333</v>
      </c>
      <c r="J148" s="11">
        <v>4</v>
      </c>
      <c r="K148" s="11">
        <v>45.56666666666667</v>
      </c>
      <c r="L148" s="11">
        <v>33.783333333333331</v>
      </c>
      <c r="M148" s="11">
        <v>218.63815</v>
      </c>
    </row>
    <row r="149" spans="1:13" x14ac:dyDescent="0.25">
      <c r="A149" s="6">
        <v>43</v>
      </c>
      <c r="B149" s="6" t="s">
        <v>248</v>
      </c>
      <c r="C149" s="6" t="s">
        <v>300</v>
      </c>
      <c r="D149" s="6" t="s">
        <v>28</v>
      </c>
      <c r="E149" s="6" t="s">
        <v>33</v>
      </c>
      <c r="F149" s="6" t="s">
        <v>33</v>
      </c>
      <c r="G149" s="10">
        <v>63.2</v>
      </c>
      <c r="H149" s="10">
        <v>51.31666666666667</v>
      </c>
      <c r="I149" s="10">
        <v>32.283333333333331</v>
      </c>
      <c r="J149" s="10">
        <v>7.7166666666666668</v>
      </c>
      <c r="K149" s="10">
        <v>69.400000000000006</v>
      </c>
      <c r="L149" s="10">
        <v>57.93333333333333</v>
      </c>
      <c r="M149" s="10">
        <v>164.6</v>
      </c>
    </row>
    <row r="150" spans="1:13" x14ac:dyDescent="0.25">
      <c r="A150" s="8">
        <v>43</v>
      </c>
      <c r="B150" s="8" t="s">
        <v>248</v>
      </c>
      <c r="C150" s="8" t="s">
        <v>301</v>
      </c>
      <c r="D150" s="8" t="s">
        <v>28</v>
      </c>
      <c r="E150" s="8" t="s">
        <v>33</v>
      </c>
      <c r="F150" s="8" t="s">
        <v>33</v>
      </c>
      <c r="G150" s="11">
        <v>0</v>
      </c>
      <c r="H150" s="11">
        <v>35.4</v>
      </c>
      <c r="I150" s="11">
        <v>6.3166666666666664</v>
      </c>
      <c r="J150" s="11">
        <v>10.016666666666669</v>
      </c>
      <c r="K150" s="11">
        <v>63.383333333333333</v>
      </c>
      <c r="L150" s="11">
        <v>44.56666666666667</v>
      </c>
      <c r="M150" s="11">
        <v>181.75905</v>
      </c>
    </row>
    <row r="151" spans="1:13" x14ac:dyDescent="0.25">
      <c r="A151" s="6">
        <v>44</v>
      </c>
      <c r="B151" s="6" t="s">
        <v>254</v>
      </c>
      <c r="C151" s="6" t="s">
        <v>300</v>
      </c>
      <c r="D151" s="6" t="s">
        <v>28</v>
      </c>
      <c r="E151" s="6" t="s">
        <v>33</v>
      </c>
      <c r="F151" s="6" t="s">
        <v>33</v>
      </c>
      <c r="G151" s="10">
        <v>0</v>
      </c>
      <c r="H151" s="10">
        <v>65.983333333333334</v>
      </c>
      <c r="I151" s="10">
        <v>30.533333333333331</v>
      </c>
      <c r="J151" s="10">
        <v>6.3</v>
      </c>
      <c r="K151" s="10">
        <v>75.783333333333331</v>
      </c>
      <c r="L151" s="10">
        <v>59.6</v>
      </c>
      <c r="M151" s="10">
        <v>170.42676666666671</v>
      </c>
    </row>
    <row r="152" spans="1:13" x14ac:dyDescent="0.25">
      <c r="A152" s="8">
        <v>44</v>
      </c>
      <c r="B152" s="8" t="s">
        <v>254</v>
      </c>
      <c r="C152" s="8" t="s">
        <v>301</v>
      </c>
      <c r="D152" s="8" t="s">
        <v>28</v>
      </c>
      <c r="E152" s="8" t="s">
        <v>33</v>
      </c>
      <c r="F152" s="8" t="s">
        <v>33</v>
      </c>
      <c r="G152" s="11">
        <v>0</v>
      </c>
      <c r="H152" s="11">
        <v>16.899999999999999</v>
      </c>
      <c r="I152" s="11">
        <v>2.833333333333333</v>
      </c>
      <c r="J152" s="11">
        <v>4</v>
      </c>
      <c r="K152" s="11">
        <v>46.733333333333327</v>
      </c>
      <c r="L152" s="11">
        <v>34.783333333333331</v>
      </c>
      <c r="M152" s="11">
        <v>220.0155</v>
      </c>
    </row>
    <row r="153" spans="1:13" x14ac:dyDescent="0.25">
      <c r="A153" s="6">
        <v>45</v>
      </c>
      <c r="B153" s="6" t="s">
        <v>259</v>
      </c>
      <c r="C153" s="6" t="s">
        <v>300</v>
      </c>
      <c r="D153" s="6" t="s">
        <v>28</v>
      </c>
      <c r="E153" s="6" t="s">
        <v>33</v>
      </c>
      <c r="F153" s="6" t="s">
        <v>33</v>
      </c>
      <c r="G153" s="10">
        <v>63.2</v>
      </c>
      <c r="H153" s="10">
        <v>51.31666666666667</v>
      </c>
      <c r="I153" s="10">
        <v>32.283333333333331</v>
      </c>
      <c r="J153" s="10">
        <v>7.7166666666666668</v>
      </c>
      <c r="K153" s="10">
        <v>69.400000000000006</v>
      </c>
      <c r="L153" s="10">
        <v>57.93333333333333</v>
      </c>
      <c r="M153" s="10">
        <v>164.6</v>
      </c>
    </row>
    <row r="154" spans="1:13" x14ac:dyDescent="0.25">
      <c r="A154" s="8">
        <v>45</v>
      </c>
      <c r="B154" s="8" t="s">
        <v>259</v>
      </c>
      <c r="C154" s="8" t="s">
        <v>301</v>
      </c>
      <c r="D154" s="8" t="s">
        <v>28</v>
      </c>
      <c r="E154" s="8" t="s">
        <v>33</v>
      </c>
      <c r="F154" s="8" t="s">
        <v>33</v>
      </c>
      <c r="G154" s="11">
        <v>0</v>
      </c>
      <c r="H154" s="11">
        <v>24.31666666666667</v>
      </c>
      <c r="I154" s="11">
        <v>2.666666666666667</v>
      </c>
      <c r="J154" s="11">
        <v>5.6833333333333336</v>
      </c>
      <c r="K154" s="11">
        <v>44.133333333333333</v>
      </c>
      <c r="L154" s="11">
        <v>32.116666666666667</v>
      </c>
      <c r="M154" s="11">
        <v>240.50931666666659</v>
      </c>
    </row>
    <row r="155" spans="1:13" x14ac:dyDescent="0.25">
      <c r="A155" s="6">
        <v>46</v>
      </c>
      <c r="B155" s="6" t="s">
        <v>263</v>
      </c>
      <c r="C155" s="6" t="s">
        <v>300</v>
      </c>
      <c r="D155" s="6" t="s">
        <v>28</v>
      </c>
      <c r="E155" s="6" t="s">
        <v>33</v>
      </c>
      <c r="F155" s="6" t="s">
        <v>33</v>
      </c>
      <c r="G155" s="10">
        <v>34.833333333333343</v>
      </c>
      <c r="H155" s="10">
        <v>37.450000000000003</v>
      </c>
      <c r="I155" s="10">
        <v>18.850000000000001</v>
      </c>
      <c r="J155" s="10">
        <v>8</v>
      </c>
      <c r="K155" s="10">
        <v>64.659216666666666</v>
      </c>
      <c r="L155" s="10">
        <v>54.06666666666667</v>
      </c>
      <c r="M155" s="10">
        <v>176.77581666666671</v>
      </c>
    </row>
    <row r="156" spans="1:13" x14ac:dyDescent="0.25">
      <c r="A156" s="8">
        <v>46</v>
      </c>
      <c r="B156" s="8" t="s">
        <v>263</v>
      </c>
      <c r="C156" s="8" t="s">
        <v>301</v>
      </c>
      <c r="D156" s="8" t="s">
        <v>28</v>
      </c>
      <c r="E156" s="8" t="s">
        <v>33</v>
      </c>
      <c r="F156" s="8" t="s">
        <v>33</v>
      </c>
      <c r="G156" s="11">
        <v>0</v>
      </c>
      <c r="H156" s="11">
        <v>20.583333333333329</v>
      </c>
      <c r="I156" s="11">
        <v>2.833333333333333</v>
      </c>
      <c r="J156" s="11">
        <v>4</v>
      </c>
      <c r="K156" s="11">
        <v>46.733333333333327</v>
      </c>
      <c r="L156" s="11">
        <v>35.116666666666667</v>
      </c>
      <c r="M156" s="11">
        <v>220.48333333333329</v>
      </c>
    </row>
    <row r="157" spans="1:13" x14ac:dyDescent="0.25">
      <c r="A157" s="6">
        <v>47</v>
      </c>
      <c r="B157" s="6" t="s">
        <v>266</v>
      </c>
      <c r="C157" s="6" t="s">
        <v>300</v>
      </c>
      <c r="D157" s="6" t="s">
        <v>28</v>
      </c>
      <c r="E157" s="6" t="s">
        <v>31</v>
      </c>
      <c r="F157" s="6" t="s">
        <v>31</v>
      </c>
      <c r="G157" s="10">
        <v>44.68333333333333</v>
      </c>
      <c r="H157" s="10">
        <v>6.6833333333333336</v>
      </c>
      <c r="I157" s="10">
        <v>11.75</v>
      </c>
      <c r="J157" s="10">
        <v>2.0166666666666671</v>
      </c>
      <c r="K157" s="10">
        <v>64.3</v>
      </c>
      <c r="L157" s="10">
        <v>51.866666666666667</v>
      </c>
      <c r="M157" s="10">
        <v>172.54785000000001</v>
      </c>
    </row>
    <row r="158" spans="1:13" x14ac:dyDescent="0.25">
      <c r="A158" s="8">
        <v>47</v>
      </c>
      <c r="B158" s="8" t="s">
        <v>266</v>
      </c>
      <c r="C158" s="8" t="s">
        <v>301</v>
      </c>
      <c r="D158" s="8" t="s">
        <v>28</v>
      </c>
      <c r="E158" s="8" t="s">
        <v>31</v>
      </c>
      <c r="F158" s="8" t="s">
        <v>31</v>
      </c>
      <c r="G158" s="11">
        <v>0</v>
      </c>
      <c r="H158" s="11">
        <v>62.766666666666673</v>
      </c>
      <c r="I158" s="11">
        <v>8.9</v>
      </c>
      <c r="J158" s="11">
        <v>3.3</v>
      </c>
      <c r="K158" s="11">
        <v>67.36666666666666</v>
      </c>
      <c r="L158" s="11">
        <v>48.233333333333327</v>
      </c>
      <c r="M158" s="11">
        <v>221.9214666666667</v>
      </c>
    </row>
    <row r="159" spans="1:13" x14ac:dyDescent="0.25">
      <c r="A159" s="6">
        <v>48</v>
      </c>
      <c r="B159" s="6" t="s">
        <v>269</v>
      </c>
      <c r="C159" s="6" t="s">
        <v>300</v>
      </c>
      <c r="D159" s="6" t="s">
        <v>28</v>
      </c>
      <c r="E159" s="6" t="s">
        <v>33</v>
      </c>
      <c r="F159" s="6" t="s">
        <v>33</v>
      </c>
      <c r="G159" s="10">
        <v>0</v>
      </c>
      <c r="H159" s="10">
        <v>65.983333333333334</v>
      </c>
      <c r="I159" s="10">
        <v>30.533333333333331</v>
      </c>
      <c r="J159" s="10">
        <v>6.3833333333333337</v>
      </c>
      <c r="K159" s="10">
        <v>76.566666666666663</v>
      </c>
      <c r="L159" s="10">
        <v>59.983333333333327</v>
      </c>
      <c r="M159" s="10">
        <v>171.2833333333333</v>
      </c>
    </row>
    <row r="160" spans="1:13" x14ac:dyDescent="0.25">
      <c r="A160" s="8">
        <v>48</v>
      </c>
      <c r="B160" s="8" t="s">
        <v>269</v>
      </c>
      <c r="C160" s="8" t="s">
        <v>301</v>
      </c>
      <c r="D160" s="8" t="s">
        <v>28</v>
      </c>
      <c r="E160" s="8" t="s">
        <v>33</v>
      </c>
      <c r="F160" s="8" t="s">
        <v>33</v>
      </c>
      <c r="G160" s="11">
        <v>0</v>
      </c>
      <c r="H160" s="11">
        <v>35.4</v>
      </c>
      <c r="I160" s="11">
        <v>6.3166666666666664</v>
      </c>
      <c r="J160" s="11">
        <v>10.35</v>
      </c>
      <c r="K160" s="11">
        <v>65.8</v>
      </c>
      <c r="L160" s="11">
        <v>46.880533333333332</v>
      </c>
      <c r="M160" s="11">
        <v>183.4</v>
      </c>
    </row>
    <row r="161" spans="1:13" x14ac:dyDescent="0.25">
      <c r="A161" s="6">
        <v>49</v>
      </c>
      <c r="B161" s="6" t="s">
        <v>273</v>
      </c>
      <c r="C161" s="6" t="s">
        <v>300</v>
      </c>
      <c r="D161" s="6" t="s">
        <v>28</v>
      </c>
      <c r="E161" s="6" t="s">
        <v>33</v>
      </c>
      <c r="F161" s="6" t="s">
        <v>33</v>
      </c>
      <c r="G161" s="10">
        <v>0</v>
      </c>
      <c r="H161" s="10">
        <v>65.983333333333334</v>
      </c>
      <c r="I161" s="10">
        <v>30.533333333333331</v>
      </c>
      <c r="J161" s="10">
        <v>6.3</v>
      </c>
      <c r="K161" s="10">
        <v>75.514616666666669</v>
      </c>
      <c r="L161" s="10">
        <v>59.383333333333333</v>
      </c>
      <c r="M161" s="10">
        <v>170.0333333333333</v>
      </c>
    </row>
    <row r="162" spans="1:13" x14ac:dyDescent="0.25">
      <c r="A162" s="8">
        <v>49</v>
      </c>
      <c r="B162" s="8" t="s">
        <v>273</v>
      </c>
      <c r="C162" s="8" t="s">
        <v>301</v>
      </c>
      <c r="D162" s="8" t="s">
        <v>28</v>
      </c>
      <c r="E162" s="8" t="s">
        <v>33</v>
      </c>
      <c r="F162" s="8" t="s">
        <v>33</v>
      </c>
      <c r="G162" s="11">
        <v>0</v>
      </c>
      <c r="H162" s="11">
        <v>20.633333333333329</v>
      </c>
      <c r="I162" s="11">
        <v>2.666666666666667</v>
      </c>
      <c r="J162" s="11">
        <v>5.0166666666666666</v>
      </c>
      <c r="K162" s="11">
        <v>43.1</v>
      </c>
      <c r="L162" s="11">
        <v>32.116666666666667</v>
      </c>
      <c r="M162" s="11">
        <v>242.5133166666667</v>
      </c>
    </row>
    <row r="163" spans="1:13" x14ac:dyDescent="0.25">
      <c r="A163" s="6">
        <v>50</v>
      </c>
      <c r="B163" s="6" t="s">
        <v>277</v>
      </c>
      <c r="C163" s="6" t="s">
        <v>300</v>
      </c>
      <c r="D163" s="6" t="s">
        <v>28</v>
      </c>
      <c r="E163" s="6" t="s">
        <v>33</v>
      </c>
      <c r="F163" s="6" t="s">
        <v>33</v>
      </c>
      <c r="G163" s="10">
        <v>34.833333333333343</v>
      </c>
      <c r="H163" s="10">
        <v>58.166666666666657</v>
      </c>
      <c r="I163" s="10">
        <v>21.679983333333329</v>
      </c>
      <c r="J163" s="10">
        <v>8.0833333333333339</v>
      </c>
      <c r="K163" s="10">
        <v>65.966666666666669</v>
      </c>
      <c r="L163" s="10">
        <v>54.8</v>
      </c>
      <c r="M163" s="10">
        <v>177.1166666666667</v>
      </c>
    </row>
    <row r="164" spans="1:13" x14ac:dyDescent="0.25">
      <c r="A164" s="8">
        <v>50</v>
      </c>
      <c r="B164" s="8" t="s">
        <v>277</v>
      </c>
      <c r="C164" s="8" t="s">
        <v>301</v>
      </c>
      <c r="D164" s="8" t="s">
        <v>28</v>
      </c>
      <c r="E164" s="8" t="s">
        <v>33</v>
      </c>
      <c r="F164" s="8" t="s">
        <v>33</v>
      </c>
      <c r="G164" s="11">
        <v>0</v>
      </c>
      <c r="H164" s="11">
        <v>35.4</v>
      </c>
      <c r="I164" s="11">
        <v>6.3166666666666664</v>
      </c>
      <c r="J164" s="11">
        <v>10.68333333333333</v>
      </c>
      <c r="K164" s="11">
        <v>66.099999999999994</v>
      </c>
      <c r="L164" s="11">
        <v>47.533333333333331</v>
      </c>
      <c r="M164" s="11">
        <v>185.7166666666667</v>
      </c>
    </row>
    <row r="165" spans="1:13" x14ac:dyDescent="0.25">
      <c r="A165" s="6">
        <v>51</v>
      </c>
      <c r="B165" s="6" t="s">
        <v>281</v>
      </c>
      <c r="C165" s="6" t="s">
        <v>300</v>
      </c>
      <c r="D165" s="6" t="s">
        <v>28</v>
      </c>
      <c r="E165" s="6" t="s">
        <v>29</v>
      </c>
      <c r="F165" s="6" t="s">
        <v>96</v>
      </c>
      <c r="G165" s="10">
        <v>0</v>
      </c>
      <c r="H165" s="10">
        <v>35.56666666666667</v>
      </c>
      <c r="I165" s="10">
        <v>30.984083333333331</v>
      </c>
      <c r="J165" s="10">
        <v>3.3</v>
      </c>
      <c r="K165" s="10">
        <v>67.480850000000004</v>
      </c>
      <c r="L165" s="10">
        <v>48.56666666666667</v>
      </c>
      <c r="M165" s="10">
        <v>79.916666666666671</v>
      </c>
    </row>
    <row r="166" spans="1:13" x14ac:dyDescent="0.25">
      <c r="A166" s="8">
        <v>51</v>
      </c>
      <c r="B166" s="8" t="s">
        <v>281</v>
      </c>
      <c r="C166" s="8" t="s">
        <v>301</v>
      </c>
      <c r="D166" s="8" t="s">
        <v>28</v>
      </c>
      <c r="E166" s="8" t="s">
        <v>29</v>
      </c>
      <c r="F166" s="8" t="s">
        <v>96</v>
      </c>
      <c r="G166" s="11">
        <v>0</v>
      </c>
      <c r="H166" s="11">
        <v>48.18333333333333</v>
      </c>
      <c r="I166" s="11">
        <v>17.666666666666671</v>
      </c>
      <c r="J166" s="11">
        <v>10.233333333333331</v>
      </c>
      <c r="K166" s="11">
        <v>51.033333333333331</v>
      </c>
      <c r="L166" s="11">
        <v>37.133333333333333</v>
      </c>
      <c r="M166" s="11">
        <v>121.31666666666671</v>
      </c>
    </row>
    <row r="167" spans="1:13" x14ac:dyDescent="0.25">
      <c r="A167" s="6">
        <v>52</v>
      </c>
      <c r="B167" s="6" t="s">
        <v>283</v>
      </c>
      <c r="C167" s="6" t="s">
        <v>300</v>
      </c>
      <c r="D167" s="6" t="s">
        <v>28</v>
      </c>
      <c r="E167" s="6" t="s">
        <v>29</v>
      </c>
      <c r="F167" s="6" t="s">
        <v>130</v>
      </c>
      <c r="G167" s="10">
        <v>0</v>
      </c>
      <c r="H167" s="10">
        <v>35.1</v>
      </c>
      <c r="I167" s="10">
        <v>15.116666666666671</v>
      </c>
      <c r="J167" s="10">
        <v>6.6</v>
      </c>
      <c r="K167" s="10">
        <v>73.302949999999996</v>
      </c>
      <c r="L167" s="10">
        <v>55.483333333333327</v>
      </c>
      <c r="M167" s="10">
        <v>78.349999999999994</v>
      </c>
    </row>
    <row r="168" spans="1:13" x14ac:dyDescent="0.25">
      <c r="A168" s="8">
        <v>52</v>
      </c>
      <c r="B168" s="8" t="s">
        <v>283</v>
      </c>
      <c r="C168" s="8" t="s">
        <v>301</v>
      </c>
      <c r="D168" s="8" t="s">
        <v>28</v>
      </c>
      <c r="E168" s="8" t="s">
        <v>29</v>
      </c>
      <c r="F168" s="8" t="s">
        <v>130</v>
      </c>
      <c r="G168" s="11">
        <v>0</v>
      </c>
      <c r="H168" s="11">
        <v>26.333333333333329</v>
      </c>
      <c r="I168" s="11">
        <v>10.016666666666669</v>
      </c>
      <c r="J168" s="11">
        <v>14.15</v>
      </c>
      <c r="K168" s="11">
        <v>51.266666666666673</v>
      </c>
      <c r="L168" s="11">
        <v>41.040366666666657</v>
      </c>
      <c r="M168" s="11">
        <v>143.5333333333333</v>
      </c>
    </row>
    <row r="169" spans="1:13" x14ac:dyDescent="0.25">
      <c r="A169" s="6">
        <v>53</v>
      </c>
      <c r="B169" s="6" t="s">
        <v>287</v>
      </c>
      <c r="C169" s="6" t="s">
        <v>300</v>
      </c>
      <c r="D169" s="6" t="s">
        <v>28</v>
      </c>
      <c r="E169" s="6" t="s">
        <v>31</v>
      </c>
      <c r="F169" s="6" t="s">
        <v>31</v>
      </c>
      <c r="G169" s="10">
        <v>44.68333333333333</v>
      </c>
      <c r="H169" s="10">
        <v>6.6833333333333336</v>
      </c>
      <c r="I169" s="10">
        <v>11.75</v>
      </c>
      <c r="J169" s="10">
        <v>2.0166666666666671</v>
      </c>
      <c r="K169" s="10">
        <v>64.3</v>
      </c>
      <c r="L169" s="10">
        <v>51.866666666666667</v>
      </c>
      <c r="M169" s="10">
        <v>172.54785000000001</v>
      </c>
    </row>
    <row r="170" spans="1:13" x14ac:dyDescent="0.25">
      <c r="A170" s="8">
        <v>53</v>
      </c>
      <c r="B170" s="8" t="s">
        <v>287</v>
      </c>
      <c r="C170" s="8" t="s">
        <v>301</v>
      </c>
      <c r="D170" s="8" t="s">
        <v>28</v>
      </c>
      <c r="E170" s="8" t="s">
        <v>31</v>
      </c>
      <c r="F170" s="8" t="s">
        <v>31</v>
      </c>
      <c r="G170" s="11">
        <v>0</v>
      </c>
      <c r="H170" s="11">
        <v>3.0166666666666671</v>
      </c>
      <c r="I170" s="11">
        <v>4.3</v>
      </c>
      <c r="J170" s="11">
        <v>1.8833333333333331</v>
      </c>
      <c r="K170" s="11">
        <v>48.913433333333337</v>
      </c>
      <c r="L170" s="11">
        <v>35.333333333333343</v>
      </c>
      <c r="M170" s="11">
        <v>224.5</v>
      </c>
    </row>
    <row r="171" spans="1:13" x14ac:dyDescent="0.25">
      <c r="A171" s="6">
        <v>54</v>
      </c>
      <c r="B171" s="6" t="s">
        <v>289</v>
      </c>
      <c r="C171" s="6" t="s">
        <v>300</v>
      </c>
      <c r="D171" s="6" t="s">
        <v>28</v>
      </c>
      <c r="E171" s="6" t="s">
        <v>33</v>
      </c>
      <c r="F171" s="6" t="s">
        <v>33</v>
      </c>
      <c r="G171" s="10">
        <v>34.833333333333343</v>
      </c>
      <c r="H171" s="10">
        <v>58.166666666666657</v>
      </c>
      <c r="I171" s="10">
        <v>21.679983333333329</v>
      </c>
      <c r="J171" s="10">
        <v>8</v>
      </c>
      <c r="K171" s="10">
        <v>64.5</v>
      </c>
      <c r="L171" s="10">
        <v>53.652149999999999</v>
      </c>
      <c r="M171" s="10">
        <v>176.5333333333333</v>
      </c>
    </row>
    <row r="172" spans="1:13" x14ac:dyDescent="0.25">
      <c r="A172" s="8">
        <v>54</v>
      </c>
      <c r="B172" s="8" t="s">
        <v>289</v>
      </c>
      <c r="C172" s="8" t="s">
        <v>301</v>
      </c>
      <c r="D172" s="8" t="s">
        <v>28</v>
      </c>
      <c r="E172" s="8" t="s">
        <v>33</v>
      </c>
      <c r="F172" s="8" t="s">
        <v>33</v>
      </c>
      <c r="G172" s="11">
        <v>0</v>
      </c>
      <c r="H172" s="11">
        <v>24.31666666666667</v>
      </c>
      <c r="I172" s="11">
        <v>2.666666666666667</v>
      </c>
      <c r="J172" s="11">
        <v>5.6833333333333336</v>
      </c>
      <c r="K172" s="11">
        <v>44.466666666666669</v>
      </c>
      <c r="L172" s="11">
        <v>32.450000000000003</v>
      </c>
      <c r="M172" s="11">
        <v>243.15</v>
      </c>
    </row>
    <row r="175" spans="1:13" ht="27.95" customHeight="1" x14ac:dyDescent="0.25">
      <c r="A175" s="55" t="s">
        <v>333</v>
      </c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</row>
    <row r="176" spans="1:13" ht="3.9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8" spans="1:13" ht="30" x14ac:dyDescent="0.25">
      <c r="A178" s="9" t="s">
        <v>59</v>
      </c>
      <c r="B178" s="9" t="s">
        <v>60</v>
      </c>
      <c r="C178" s="9" t="s">
        <v>292</v>
      </c>
      <c r="D178" s="9" t="s">
        <v>24</v>
      </c>
      <c r="E178" s="9" t="s">
        <v>61</v>
      </c>
      <c r="F178" s="9" t="s">
        <v>62</v>
      </c>
      <c r="G178" s="9" t="s">
        <v>293</v>
      </c>
      <c r="H178" s="9" t="s">
        <v>294</v>
      </c>
      <c r="I178" s="9" t="s">
        <v>295</v>
      </c>
      <c r="J178" s="9" t="s">
        <v>296</v>
      </c>
      <c r="K178" s="9" t="s">
        <v>297</v>
      </c>
      <c r="L178" s="9" t="s">
        <v>298</v>
      </c>
      <c r="M178" s="9" t="s">
        <v>299</v>
      </c>
    </row>
    <row r="179" spans="1:13" x14ac:dyDescent="0.25">
      <c r="A179" s="6">
        <v>1</v>
      </c>
      <c r="B179" s="6" t="s">
        <v>75</v>
      </c>
      <c r="C179" s="6" t="s">
        <v>300</v>
      </c>
      <c r="D179" s="6" t="s">
        <v>28</v>
      </c>
      <c r="E179" s="6" t="s">
        <v>35</v>
      </c>
      <c r="F179" s="6" t="s">
        <v>76</v>
      </c>
      <c r="G179" s="10">
        <v>0.31331323290921648</v>
      </c>
      <c r="H179" s="10">
        <v>4.1652318794050638E-2</v>
      </c>
      <c r="I179" s="10">
        <v>0.155968406398383</v>
      </c>
      <c r="J179" s="10">
        <v>0.44927380259769911</v>
      </c>
      <c r="K179" s="10">
        <v>60.308696506028731</v>
      </c>
      <c r="L179" s="10">
        <v>44.619089325926979</v>
      </c>
      <c r="M179" s="10">
        <v>199.27859331962469</v>
      </c>
    </row>
    <row r="180" spans="1:13" x14ac:dyDescent="0.25">
      <c r="A180" s="8">
        <v>1</v>
      </c>
      <c r="B180" s="8" t="s">
        <v>75</v>
      </c>
      <c r="C180" s="8" t="s">
        <v>301</v>
      </c>
      <c r="D180" s="8" t="s">
        <v>28</v>
      </c>
      <c r="E180" s="8" t="s">
        <v>35</v>
      </c>
      <c r="F180" s="8" t="s">
        <v>76</v>
      </c>
      <c r="G180" s="11">
        <v>0</v>
      </c>
      <c r="H180" s="11">
        <v>0.2136487015115684</v>
      </c>
      <c r="I180" s="11">
        <v>0</v>
      </c>
      <c r="J180" s="11">
        <v>0.30731281945969252</v>
      </c>
      <c r="K180" s="11">
        <v>55.580881691351998</v>
      </c>
      <c r="L180" s="11">
        <v>38.88632527176938</v>
      </c>
      <c r="M180" s="11">
        <v>215.4860733436561</v>
      </c>
    </row>
    <row r="181" spans="1:13" x14ac:dyDescent="0.25">
      <c r="A181" s="6">
        <v>2</v>
      </c>
      <c r="B181" s="6" t="s">
        <v>83</v>
      </c>
      <c r="C181" s="6" t="s">
        <v>300</v>
      </c>
      <c r="D181" s="6" t="s">
        <v>28</v>
      </c>
      <c r="E181" s="6" t="s">
        <v>35</v>
      </c>
      <c r="F181" s="6" t="s">
        <v>76</v>
      </c>
      <c r="G181" s="10">
        <v>0.31331323290921648</v>
      </c>
      <c r="H181" s="10">
        <v>4.1652318794050638E-2</v>
      </c>
      <c r="I181" s="10">
        <v>0.155968406398383</v>
      </c>
      <c r="J181" s="10">
        <v>0.44927380259769911</v>
      </c>
      <c r="K181" s="10">
        <v>60.301496385496783</v>
      </c>
      <c r="L181" s="10">
        <v>44.619089325926979</v>
      </c>
      <c r="M181" s="10">
        <v>199.22648418736321</v>
      </c>
    </row>
    <row r="182" spans="1:13" x14ac:dyDescent="0.25">
      <c r="A182" s="8">
        <v>2</v>
      </c>
      <c r="B182" s="8" t="s">
        <v>83</v>
      </c>
      <c r="C182" s="8" t="s">
        <v>301</v>
      </c>
      <c r="D182" s="8" t="s">
        <v>28</v>
      </c>
      <c r="E182" s="8" t="s">
        <v>35</v>
      </c>
      <c r="F182" s="8" t="s">
        <v>76</v>
      </c>
      <c r="G182" s="11">
        <v>0</v>
      </c>
      <c r="H182" s="11">
        <v>8.3882197240028836E-2</v>
      </c>
      <c r="I182" s="11">
        <v>3.091495950618035E-2</v>
      </c>
      <c r="J182" s="11">
        <v>0.2309310830082773</v>
      </c>
      <c r="K182" s="11">
        <v>57.928893825091471</v>
      </c>
      <c r="L182" s="11">
        <v>43.162925395186832</v>
      </c>
      <c r="M182" s="11">
        <v>203.77852793806281</v>
      </c>
    </row>
    <row r="183" spans="1:13" x14ac:dyDescent="0.25">
      <c r="A183" s="6">
        <v>3</v>
      </c>
      <c r="B183" s="6" t="s">
        <v>87</v>
      </c>
      <c r="C183" s="6" t="s">
        <v>300</v>
      </c>
      <c r="D183" s="6" t="s">
        <v>28</v>
      </c>
      <c r="E183" s="6" t="s">
        <v>35</v>
      </c>
      <c r="F183" s="6" t="s">
        <v>88</v>
      </c>
      <c r="G183" s="10">
        <v>0.32207239596471771</v>
      </c>
      <c r="H183" s="10">
        <v>0.46962669093374088</v>
      </c>
      <c r="I183" s="10">
        <v>0</v>
      </c>
      <c r="J183" s="10">
        <v>0.26467880112010561</v>
      </c>
      <c r="K183" s="10">
        <v>46.828639184274387</v>
      </c>
      <c r="L183" s="10">
        <v>41.953809708617477</v>
      </c>
      <c r="M183" s="10">
        <v>230.50068292981709</v>
      </c>
    </row>
    <row r="184" spans="1:13" x14ac:dyDescent="0.25">
      <c r="A184" s="8">
        <v>3</v>
      </c>
      <c r="B184" s="8" t="s">
        <v>87</v>
      </c>
      <c r="C184" s="8" t="s">
        <v>301</v>
      </c>
      <c r="D184" s="8" t="s">
        <v>28</v>
      </c>
      <c r="E184" s="8" t="s">
        <v>35</v>
      </c>
      <c r="F184" s="8" t="s">
        <v>88</v>
      </c>
      <c r="G184" s="11">
        <v>0</v>
      </c>
      <c r="H184" s="11">
        <v>0.34734042341449439</v>
      </c>
      <c r="I184" s="11">
        <v>0</v>
      </c>
      <c r="J184" s="11">
        <v>0.43740140315438419</v>
      </c>
      <c r="K184" s="11">
        <v>58.410381444501432</v>
      </c>
      <c r="L184" s="11">
        <v>47.464359459883809</v>
      </c>
      <c r="M184" s="11">
        <v>214.02953530309489</v>
      </c>
    </row>
    <row r="185" spans="1:13" x14ac:dyDescent="0.25">
      <c r="A185" s="6">
        <v>4</v>
      </c>
      <c r="B185" s="6" t="s">
        <v>95</v>
      </c>
      <c r="C185" s="6" t="s">
        <v>300</v>
      </c>
      <c r="D185" s="6" t="s">
        <v>28</v>
      </c>
      <c r="E185" s="6" t="s">
        <v>29</v>
      </c>
      <c r="F185" s="6" t="s">
        <v>96</v>
      </c>
      <c r="G185" s="10">
        <v>0</v>
      </c>
      <c r="H185" s="10">
        <v>0.35568686098748031</v>
      </c>
      <c r="I185" s="10">
        <v>0.57585003194744566</v>
      </c>
      <c r="J185" s="10">
        <v>0.62657519758941227</v>
      </c>
      <c r="K185" s="10">
        <v>44.777394576317398</v>
      </c>
      <c r="L185" s="10">
        <v>31.030770141318762</v>
      </c>
      <c r="M185" s="10">
        <v>70.832492215617009</v>
      </c>
    </row>
    <row r="186" spans="1:13" x14ac:dyDescent="0.25">
      <c r="A186" s="8">
        <v>4</v>
      </c>
      <c r="B186" s="8" t="s">
        <v>95</v>
      </c>
      <c r="C186" s="8" t="s">
        <v>301</v>
      </c>
      <c r="D186" s="8" t="s">
        <v>28</v>
      </c>
      <c r="E186" s="8" t="s">
        <v>29</v>
      </c>
      <c r="F186" s="8" t="s">
        <v>96</v>
      </c>
      <c r="G186" s="11">
        <v>0</v>
      </c>
      <c r="H186" s="11">
        <v>0.83987814360898194</v>
      </c>
      <c r="I186" s="11">
        <v>1.7979996304002079</v>
      </c>
      <c r="J186" s="11">
        <v>0.57590785271071809</v>
      </c>
      <c r="K186" s="11">
        <v>16.043682536598411</v>
      </c>
      <c r="L186" s="11">
        <v>16.779596658523619</v>
      </c>
      <c r="M186" s="11">
        <v>112.0883548622644</v>
      </c>
    </row>
    <row r="187" spans="1:13" x14ac:dyDescent="0.25">
      <c r="A187" s="6">
        <v>5</v>
      </c>
      <c r="B187" s="6" t="s">
        <v>102</v>
      </c>
      <c r="C187" s="6" t="s">
        <v>300</v>
      </c>
      <c r="D187" s="6" t="s">
        <v>28</v>
      </c>
      <c r="E187" s="6" t="s">
        <v>29</v>
      </c>
      <c r="F187" s="6" t="s">
        <v>96</v>
      </c>
      <c r="G187" s="10">
        <v>0</v>
      </c>
      <c r="H187" s="10">
        <v>0.35568686098748031</v>
      </c>
      <c r="I187" s="10">
        <v>0.46935934842854138</v>
      </c>
      <c r="J187" s="10">
        <v>0.35650575379932598</v>
      </c>
      <c r="K187" s="10">
        <v>43.251327961348252</v>
      </c>
      <c r="L187" s="10">
        <v>30.282041524727092</v>
      </c>
      <c r="M187" s="10">
        <v>66.907081684469304</v>
      </c>
    </row>
    <row r="188" spans="1:13" x14ac:dyDescent="0.25">
      <c r="A188" s="8">
        <v>5</v>
      </c>
      <c r="B188" s="8" t="s">
        <v>102</v>
      </c>
      <c r="C188" s="8" t="s">
        <v>301</v>
      </c>
      <c r="D188" s="8" t="s">
        <v>28</v>
      </c>
      <c r="E188" s="8" t="s">
        <v>29</v>
      </c>
      <c r="F188" s="8" t="s">
        <v>96</v>
      </c>
      <c r="G188" s="11">
        <v>0</v>
      </c>
      <c r="H188" s="11">
        <v>0.22156090055420241</v>
      </c>
      <c r="I188" s="11">
        <v>0</v>
      </c>
      <c r="J188" s="11">
        <v>0.11647473715777031</v>
      </c>
      <c r="K188" s="11">
        <v>21.52228685090974</v>
      </c>
      <c r="L188" s="11">
        <v>17.072623143274491</v>
      </c>
      <c r="M188" s="11">
        <v>102.738159054381</v>
      </c>
    </row>
    <row r="189" spans="1:13" x14ac:dyDescent="0.25">
      <c r="A189" s="6">
        <v>6</v>
      </c>
      <c r="B189" s="6" t="s">
        <v>108</v>
      </c>
      <c r="C189" s="6" t="s">
        <v>300</v>
      </c>
      <c r="D189" s="6" t="s">
        <v>28</v>
      </c>
      <c r="E189" s="6" t="s">
        <v>29</v>
      </c>
      <c r="F189" s="6" t="s">
        <v>96</v>
      </c>
      <c r="G189" s="10">
        <v>0</v>
      </c>
      <c r="H189" s="10">
        <v>0.38306581509713777</v>
      </c>
      <c r="I189" s="10">
        <v>2.3361160569771502</v>
      </c>
      <c r="J189" s="10">
        <v>0.20461421027387261</v>
      </c>
      <c r="K189" s="10">
        <v>38.636070215722071</v>
      </c>
      <c r="L189" s="10">
        <v>26.286683002730651</v>
      </c>
      <c r="M189" s="10">
        <v>80.361862644527108</v>
      </c>
    </row>
    <row r="190" spans="1:13" x14ac:dyDescent="0.25">
      <c r="A190" s="8">
        <v>6</v>
      </c>
      <c r="B190" s="8" t="s">
        <v>108</v>
      </c>
      <c r="C190" s="8" t="s">
        <v>301</v>
      </c>
      <c r="D190" s="8" t="s">
        <v>28</v>
      </c>
      <c r="E190" s="8" t="s">
        <v>29</v>
      </c>
      <c r="F190" s="8" t="s">
        <v>96</v>
      </c>
      <c r="G190" s="11">
        <v>0</v>
      </c>
      <c r="H190" s="11">
        <v>0.83987814360898194</v>
      </c>
      <c r="I190" s="11">
        <v>1.7979996304002079</v>
      </c>
      <c r="J190" s="11">
        <v>0.57590785271071809</v>
      </c>
      <c r="K190" s="11">
        <v>16.043682536598411</v>
      </c>
      <c r="L190" s="11">
        <v>16.779596658523619</v>
      </c>
      <c r="M190" s="11">
        <v>112.1131547520701</v>
      </c>
    </row>
    <row r="191" spans="1:13" x14ac:dyDescent="0.25">
      <c r="A191" s="6">
        <v>7</v>
      </c>
      <c r="B191" s="6" t="s">
        <v>111</v>
      </c>
      <c r="C191" s="6" t="s">
        <v>300</v>
      </c>
      <c r="D191" s="6" t="s">
        <v>28</v>
      </c>
      <c r="E191" s="6" t="s">
        <v>29</v>
      </c>
      <c r="F191" s="6" t="s">
        <v>96</v>
      </c>
      <c r="G191" s="10">
        <v>0</v>
      </c>
      <c r="H191" s="10">
        <v>0.4715380269015641</v>
      </c>
      <c r="I191" s="10">
        <v>0.72334267161559207</v>
      </c>
      <c r="J191" s="10">
        <v>0.62657519758941227</v>
      </c>
      <c r="K191" s="10">
        <v>44.372426251753588</v>
      </c>
      <c r="L191" s="10">
        <v>30.69503766819436</v>
      </c>
      <c r="M191" s="10">
        <v>69.221442413661691</v>
      </c>
    </row>
    <row r="192" spans="1:13" x14ac:dyDescent="0.25">
      <c r="A192" s="8">
        <v>7</v>
      </c>
      <c r="B192" s="8" t="s">
        <v>111</v>
      </c>
      <c r="C192" s="8" t="s">
        <v>301</v>
      </c>
      <c r="D192" s="8" t="s">
        <v>28</v>
      </c>
      <c r="E192" s="8" t="s">
        <v>29</v>
      </c>
      <c r="F192" s="8" t="s">
        <v>96</v>
      </c>
      <c r="G192" s="11">
        <v>0</v>
      </c>
      <c r="H192" s="11">
        <v>0.56746055645718996</v>
      </c>
      <c r="I192" s="11">
        <v>0.55256306869115623</v>
      </c>
      <c r="J192" s="11">
        <v>1.005496809016533</v>
      </c>
      <c r="K192" s="11">
        <v>27.609909695058061</v>
      </c>
      <c r="L192" s="11">
        <v>19.892928271907479</v>
      </c>
      <c r="M192" s="11">
        <v>96.565811989808935</v>
      </c>
    </row>
    <row r="193" spans="1:13" x14ac:dyDescent="0.25">
      <c r="A193" s="6">
        <v>8</v>
      </c>
      <c r="B193" s="6" t="s">
        <v>117</v>
      </c>
      <c r="C193" s="6" t="s">
        <v>300</v>
      </c>
      <c r="D193" s="6" t="s">
        <v>28</v>
      </c>
      <c r="E193" s="6" t="s">
        <v>29</v>
      </c>
      <c r="F193" s="6" t="s">
        <v>96</v>
      </c>
      <c r="G193" s="10">
        <v>0</v>
      </c>
      <c r="H193" s="10">
        <v>0.37366038708160421</v>
      </c>
      <c r="I193" s="10">
        <v>0.70152151256216355</v>
      </c>
      <c r="J193" s="10">
        <v>0</v>
      </c>
      <c r="K193" s="10">
        <v>37.607352721049807</v>
      </c>
      <c r="L193" s="10">
        <v>27.61065850344794</v>
      </c>
      <c r="M193" s="10">
        <v>81.51318776562465</v>
      </c>
    </row>
    <row r="194" spans="1:13" x14ac:dyDescent="0.25">
      <c r="A194" s="8">
        <v>8</v>
      </c>
      <c r="B194" s="8" t="s">
        <v>117</v>
      </c>
      <c r="C194" s="8" t="s">
        <v>301</v>
      </c>
      <c r="D194" s="8" t="s">
        <v>28</v>
      </c>
      <c r="E194" s="8" t="s">
        <v>29</v>
      </c>
      <c r="F194" s="8" t="s">
        <v>96</v>
      </c>
      <c r="G194" s="11">
        <v>0</v>
      </c>
      <c r="H194" s="11">
        <v>0.83987814360898194</v>
      </c>
      <c r="I194" s="11">
        <v>1.7979996304002079</v>
      </c>
      <c r="J194" s="11">
        <v>0.46558889600755871</v>
      </c>
      <c r="K194" s="11">
        <v>16.046588129687478</v>
      </c>
      <c r="L194" s="11">
        <v>16.779596658523619</v>
      </c>
      <c r="M194" s="11">
        <v>111.8050567661586</v>
      </c>
    </row>
    <row r="195" spans="1:13" x14ac:dyDescent="0.25">
      <c r="A195" s="6">
        <v>9</v>
      </c>
      <c r="B195" s="6" t="s">
        <v>121</v>
      </c>
      <c r="C195" s="6" t="s">
        <v>300</v>
      </c>
      <c r="D195" s="6" t="s">
        <v>28</v>
      </c>
      <c r="E195" s="6" t="s">
        <v>29</v>
      </c>
      <c r="F195" s="6" t="s">
        <v>96</v>
      </c>
      <c r="G195" s="10">
        <v>0</v>
      </c>
      <c r="H195" s="10">
        <v>0.47498370401507511</v>
      </c>
      <c r="I195" s="10">
        <v>0.57585003194744566</v>
      </c>
      <c r="J195" s="10">
        <v>0.62657519758941227</v>
      </c>
      <c r="K195" s="10">
        <v>45.772824782401209</v>
      </c>
      <c r="L195" s="10">
        <v>32.149418815464323</v>
      </c>
      <c r="M195" s="10">
        <v>73.935191620178145</v>
      </c>
    </row>
    <row r="196" spans="1:13" x14ac:dyDescent="0.25">
      <c r="A196" s="8">
        <v>9</v>
      </c>
      <c r="B196" s="8" t="s">
        <v>121</v>
      </c>
      <c r="C196" s="8" t="s">
        <v>301</v>
      </c>
      <c r="D196" s="8" t="s">
        <v>28</v>
      </c>
      <c r="E196" s="8" t="s">
        <v>29</v>
      </c>
      <c r="F196" s="8" t="s">
        <v>96</v>
      </c>
      <c r="G196" s="11">
        <v>0</v>
      </c>
      <c r="H196" s="11">
        <v>0.65269298090049266</v>
      </c>
      <c r="I196" s="11">
        <v>1.4671353884529701</v>
      </c>
      <c r="J196" s="11">
        <v>1.3169091629820999</v>
      </c>
      <c r="K196" s="11">
        <v>32.191335446084793</v>
      </c>
      <c r="L196" s="11">
        <v>24.26414905968165</v>
      </c>
      <c r="M196" s="11">
        <v>93.660439746609754</v>
      </c>
    </row>
    <row r="197" spans="1:13" x14ac:dyDescent="0.25">
      <c r="A197" s="6">
        <v>10</v>
      </c>
      <c r="B197" s="6" t="s">
        <v>126</v>
      </c>
      <c r="C197" s="6" t="s">
        <v>300</v>
      </c>
      <c r="D197" s="6" t="s">
        <v>28</v>
      </c>
      <c r="E197" s="6" t="s">
        <v>29</v>
      </c>
      <c r="F197" s="6" t="s">
        <v>96</v>
      </c>
      <c r="G197" s="10">
        <v>0</v>
      </c>
      <c r="H197" s="10">
        <v>0.59332623218911007</v>
      </c>
      <c r="I197" s="10">
        <v>0.50673195714436814</v>
      </c>
      <c r="J197" s="10">
        <v>0.17990784099446211</v>
      </c>
      <c r="K197" s="10">
        <v>45.789637948542399</v>
      </c>
      <c r="L197" s="10">
        <v>33.363070952937612</v>
      </c>
      <c r="M197" s="10">
        <v>67.975437349422975</v>
      </c>
    </row>
    <row r="198" spans="1:13" x14ac:dyDescent="0.25">
      <c r="A198" s="8">
        <v>10</v>
      </c>
      <c r="B198" s="8" t="s">
        <v>126</v>
      </c>
      <c r="C198" s="8" t="s">
        <v>301</v>
      </c>
      <c r="D198" s="8" t="s">
        <v>28</v>
      </c>
      <c r="E198" s="8" t="s">
        <v>29</v>
      </c>
      <c r="F198" s="8" t="s">
        <v>96</v>
      </c>
      <c r="G198" s="11">
        <v>0</v>
      </c>
      <c r="H198" s="11">
        <v>0.83987814360898194</v>
      </c>
      <c r="I198" s="11">
        <v>1.7979996304002079</v>
      </c>
      <c r="J198" s="11">
        <v>0.57590785271071809</v>
      </c>
      <c r="K198" s="11">
        <v>16.043682536598411</v>
      </c>
      <c r="L198" s="11">
        <v>16.779596658523619</v>
      </c>
      <c r="M198" s="11">
        <v>112.1322772301322</v>
      </c>
    </row>
    <row r="199" spans="1:13" x14ac:dyDescent="0.25">
      <c r="A199" s="6">
        <v>11</v>
      </c>
      <c r="B199" s="6" t="s">
        <v>129</v>
      </c>
      <c r="C199" s="6" t="s">
        <v>300</v>
      </c>
      <c r="D199" s="6" t="s">
        <v>28</v>
      </c>
      <c r="E199" s="6" t="s">
        <v>29</v>
      </c>
      <c r="F199" s="6" t="s">
        <v>130</v>
      </c>
      <c r="G199" s="10">
        <v>0</v>
      </c>
      <c r="H199" s="10">
        <v>1.3321013582624259</v>
      </c>
      <c r="I199" s="10">
        <v>0.75410540916294477</v>
      </c>
      <c r="J199" s="10">
        <v>0.43943113160824449</v>
      </c>
      <c r="K199" s="10">
        <v>42.768056236857731</v>
      </c>
      <c r="L199" s="10">
        <v>29.775024172432051</v>
      </c>
      <c r="M199" s="10">
        <v>68.609609149335569</v>
      </c>
    </row>
    <row r="200" spans="1:13" x14ac:dyDescent="0.25">
      <c r="A200" s="8">
        <v>11</v>
      </c>
      <c r="B200" s="8" t="s">
        <v>129</v>
      </c>
      <c r="C200" s="8" t="s">
        <v>301</v>
      </c>
      <c r="D200" s="8" t="s">
        <v>28</v>
      </c>
      <c r="E200" s="8" t="s">
        <v>29</v>
      </c>
      <c r="F200" s="8" t="s">
        <v>130</v>
      </c>
      <c r="G200" s="11">
        <v>0</v>
      </c>
      <c r="H200" s="11">
        <v>0.43407803900839542</v>
      </c>
      <c r="I200" s="11">
        <v>2.0389552164336071</v>
      </c>
      <c r="J200" s="11">
        <v>0.27011205530314503</v>
      </c>
      <c r="K200" s="11">
        <v>30.597979144685119</v>
      </c>
      <c r="L200" s="11">
        <v>25.113544257186629</v>
      </c>
      <c r="M200" s="11">
        <v>85.251434402970759</v>
      </c>
    </row>
    <row r="201" spans="1:13" x14ac:dyDescent="0.25">
      <c r="A201" s="6">
        <v>12</v>
      </c>
      <c r="B201" s="6" t="s">
        <v>136</v>
      </c>
      <c r="C201" s="6" t="s">
        <v>300</v>
      </c>
      <c r="D201" s="6" t="s">
        <v>28</v>
      </c>
      <c r="E201" s="6" t="s">
        <v>29</v>
      </c>
      <c r="F201" s="6" t="s">
        <v>130</v>
      </c>
      <c r="G201" s="10">
        <v>0</v>
      </c>
      <c r="H201" s="10">
        <v>0.9969610105345994</v>
      </c>
      <c r="I201" s="10">
        <v>0.70531249288605091</v>
      </c>
      <c r="J201" s="10">
        <v>0</v>
      </c>
      <c r="K201" s="10">
        <v>41.444028126689659</v>
      </c>
      <c r="L201" s="10">
        <v>29.143387878980331</v>
      </c>
      <c r="M201" s="10">
        <v>64.401008346932969</v>
      </c>
    </row>
    <row r="202" spans="1:13" x14ac:dyDescent="0.25">
      <c r="A202" s="8">
        <v>12</v>
      </c>
      <c r="B202" s="8" t="s">
        <v>136</v>
      </c>
      <c r="C202" s="8" t="s">
        <v>301</v>
      </c>
      <c r="D202" s="8" t="s">
        <v>28</v>
      </c>
      <c r="E202" s="8" t="s">
        <v>29</v>
      </c>
      <c r="F202" s="8" t="s">
        <v>130</v>
      </c>
      <c r="G202" s="11">
        <v>0</v>
      </c>
      <c r="H202" s="11">
        <v>0.11699904226004509</v>
      </c>
      <c r="I202" s="11">
        <v>0.96438076555850782</v>
      </c>
      <c r="J202" s="11">
        <v>0.77930295991607568</v>
      </c>
      <c r="K202" s="11">
        <v>36.712209444916184</v>
      </c>
      <c r="L202" s="11">
        <v>25.040527354235781</v>
      </c>
      <c r="M202" s="11">
        <v>74.293641117732662</v>
      </c>
    </row>
    <row r="203" spans="1:13" x14ac:dyDescent="0.25">
      <c r="A203" s="6">
        <v>13</v>
      </c>
      <c r="B203" s="6" t="s">
        <v>141</v>
      </c>
      <c r="C203" s="6" t="s">
        <v>300</v>
      </c>
      <c r="D203" s="6" t="s">
        <v>28</v>
      </c>
      <c r="E203" s="6" t="s">
        <v>29</v>
      </c>
      <c r="F203" s="6" t="s">
        <v>130</v>
      </c>
      <c r="G203" s="10">
        <v>0</v>
      </c>
      <c r="H203" s="10">
        <v>0.5585488688475958</v>
      </c>
      <c r="I203" s="10">
        <v>1.1280191553248591</v>
      </c>
      <c r="J203" s="10">
        <v>0.85257026986061224</v>
      </c>
      <c r="K203" s="10">
        <v>43.558503820487473</v>
      </c>
      <c r="L203" s="10">
        <v>32.438943986672427</v>
      </c>
      <c r="M203" s="10">
        <v>66.332492528405481</v>
      </c>
    </row>
    <row r="204" spans="1:13" x14ac:dyDescent="0.25">
      <c r="A204" s="8">
        <v>13</v>
      </c>
      <c r="B204" s="8" t="s">
        <v>141</v>
      </c>
      <c r="C204" s="8" t="s">
        <v>301</v>
      </c>
      <c r="D204" s="8" t="s">
        <v>28</v>
      </c>
      <c r="E204" s="8" t="s">
        <v>29</v>
      </c>
      <c r="F204" s="8" t="s">
        <v>130</v>
      </c>
      <c r="G204" s="11">
        <v>0</v>
      </c>
      <c r="H204" s="11">
        <v>0.43407803900839542</v>
      </c>
      <c r="I204" s="11">
        <v>2.0574693428543021</v>
      </c>
      <c r="J204" s="11">
        <v>0.27011205530314503</v>
      </c>
      <c r="K204" s="11">
        <v>30.597979144685119</v>
      </c>
      <c r="L204" s="11">
        <v>25.113544257186629</v>
      </c>
      <c r="M204" s="11">
        <v>85.251487097446585</v>
      </c>
    </row>
    <row r="205" spans="1:13" x14ac:dyDescent="0.25">
      <c r="A205" s="6">
        <v>14</v>
      </c>
      <c r="B205" s="6" t="s">
        <v>144</v>
      </c>
      <c r="C205" s="6" t="s">
        <v>300</v>
      </c>
      <c r="D205" s="6" t="s">
        <v>28</v>
      </c>
      <c r="E205" s="6" t="s">
        <v>29</v>
      </c>
      <c r="F205" s="6" t="s">
        <v>130</v>
      </c>
      <c r="G205" s="10">
        <v>0</v>
      </c>
      <c r="H205" s="10">
        <v>1.156478673390982</v>
      </c>
      <c r="I205" s="10">
        <v>0.51635952825814069</v>
      </c>
      <c r="J205" s="10">
        <v>0.43943113160824449</v>
      </c>
      <c r="K205" s="10">
        <v>35.860322802540047</v>
      </c>
      <c r="L205" s="10">
        <v>24.93604446973648</v>
      </c>
      <c r="M205" s="10">
        <v>61.009959080237223</v>
      </c>
    </row>
    <row r="206" spans="1:13" x14ac:dyDescent="0.25">
      <c r="A206" s="8">
        <v>14</v>
      </c>
      <c r="B206" s="8" t="s">
        <v>144</v>
      </c>
      <c r="C206" s="8" t="s">
        <v>301</v>
      </c>
      <c r="D206" s="8" t="s">
        <v>28</v>
      </c>
      <c r="E206" s="8" t="s">
        <v>29</v>
      </c>
      <c r="F206" s="8" t="s">
        <v>130</v>
      </c>
      <c r="G206" s="11">
        <v>0</v>
      </c>
      <c r="H206" s="11">
        <v>0.1090721560237224</v>
      </c>
      <c r="I206" s="11">
        <v>0.83852134333277595</v>
      </c>
      <c r="J206" s="11">
        <v>0</v>
      </c>
      <c r="K206" s="11">
        <v>28.213201619757211</v>
      </c>
      <c r="L206" s="11">
        <v>20.93633895165053</v>
      </c>
      <c r="M206" s="11">
        <v>73.844802002142799</v>
      </c>
    </row>
    <row r="207" spans="1:13" x14ac:dyDescent="0.25">
      <c r="A207" s="6">
        <v>15</v>
      </c>
      <c r="B207" s="6" t="s">
        <v>150</v>
      </c>
      <c r="C207" s="6" t="s">
        <v>300</v>
      </c>
      <c r="D207" s="6" t="s">
        <v>28</v>
      </c>
      <c r="E207" s="6" t="s">
        <v>29</v>
      </c>
      <c r="F207" s="6" t="s">
        <v>130</v>
      </c>
      <c r="G207" s="10">
        <v>0</v>
      </c>
      <c r="H207" s="10">
        <v>0.52166162348455802</v>
      </c>
      <c r="I207" s="10">
        <v>0.55895774646599539</v>
      </c>
      <c r="J207" s="10">
        <v>0.35482326921949731</v>
      </c>
      <c r="K207" s="10">
        <v>43.320905108620543</v>
      </c>
      <c r="L207" s="10">
        <v>28.28601681705657</v>
      </c>
      <c r="M207" s="10">
        <v>70.673195048294886</v>
      </c>
    </row>
    <row r="208" spans="1:13" x14ac:dyDescent="0.25">
      <c r="A208" s="8">
        <v>15</v>
      </c>
      <c r="B208" s="8" t="s">
        <v>150</v>
      </c>
      <c r="C208" s="8" t="s">
        <v>301</v>
      </c>
      <c r="D208" s="8" t="s">
        <v>28</v>
      </c>
      <c r="E208" s="8" t="s">
        <v>29</v>
      </c>
      <c r="F208" s="8" t="s">
        <v>130</v>
      </c>
      <c r="G208" s="11">
        <v>0</v>
      </c>
      <c r="H208" s="11">
        <v>0.43407803900839542</v>
      </c>
      <c r="I208" s="11">
        <v>2.0373023196522468</v>
      </c>
      <c r="J208" s="11">
        <v>0.27011205530314503</v>
      </c>
      <c r="K208" s="11">
        <v>30.597979144685119</v>
      </c>
      <c r="L208" s="11">
        <v>25.113544257186629</v>
      </c>
      <c r="M208" s="11">
        <v>85.249995172615314</v>
      </c>
    </row>
    <row r="209" spans="1:13" x14ac:dyDescent="0.25">
      <c r="A209" s="6">
        <v>16</v>
      </c>
      <c r="B209" s="6" t="s">
        <v>153</v>
      </c>
      <c r="C209" s="6" t="s">
        <v>300</v>
      </c>
      <c r="D209" s="6" t="s">
        <v>28</v>
      </c>
      <c r="E209" s="6" t="s">
        <v>29</v>
      </c>
      <c r="F209" s="6" t="s">
        <v>130</v>
      </c>
      <c r="G209" s="10">
        <v>0</v>
      </c>
      <c r="H209" s="10">
        <v>1.349334550099321</v>
      </c>
      <c r="I209" s="10">
        <v>0.85626343374075942</v>
      </c>
      <c r="J209" s="10">
        <v>0.6700482500107362</v>
      </c>
      <c r="K209" s="10">
        <v>44.025744768194123</v>
      </c>
      <c r="L209" s="10">
        <v>31.17572674470658</v>
      </c>
      <c r="M209" s="10">
        <v>74.16217403535677</v>
      </c>
    </row>
    <row r="210" spans="1:13" x14ac:dyDescent="0.25">
      <c r="A210" s="8">
        <v>16</v>
      </c>
      <c r="B210" s="8" t="s">
        <v>153</v>
      </c>
      <c r="C210" s="8" t="s">
        <v>301</v>
      </c>
      <c r="D210" s="8" t="s">
        <v>28</v>
      </c>
      <c r="E210" s="8" t="s">
        <v>29</v>
      </c>
      <c r="F210" s="8" t="s">
        <v>130</v>
      </c>
      <c r="G210" s="11">
        <v>0</v>
      </c>
      <c r="H210" s="11">
        <v>0.32294108699012902</v>
      </c>
      <c r="I210" s="11">
        <v>0.5256426997626461</v>
      </c>
      <c r="J210" s="11">
        <v>1.2222826160609359</v>
      </c>
      <c r="K210" s="11">
        <v>30.18268163700424</v>
      </c>
      <c r="L210" s="11">
        <v>24.79776882222491</v>
      </c>
      <c r="M210" s="11">
        <v>96.896273385660237</v>
      </c>
    </row>
    <row r="211" spans="1:13" x14ac:dyDescent="0.25">
      <c r="A211" s="6">
        <v>17</v>
      </c>
      <c r="B211" s="6" t="s">
        <v>158</v>
      </c>
      <c r="C211" s="6" t="s">
        <v>300</v>
      </c>
      <c r="D211" s="6" t="s">
        <v>28</v>
      </c>
      <c r="E211" s="6" t="s">
        <v>29</v>
      </c>
      <c r="F211" s="6" t="s">
        <v>130</v>
      </c>
      <c r="G211" s="10">
        <v>0</v>
      </c>
      <c r="H211" s="10">
        <v>0.1862366457606098</v>
      </c>
      <c r="I211" s="10">
        <v>0.28644165794522208</v>
      </c>
      <c r="J211" s="10">
        <v>0.30638082516478932</v>
      </c>
      <c r="K211" s="10">
        <v>51.040210715733267</v>
      </c>
      <c r="L211" s="10">
        <v>36.752369717980088</v>
      </c>
      <c r="M211" s="10">
        <v>57.027122505769483</v>
      </c>
    </row>
    <row r="212" spans="1:13" x14ac:dyDescent="0.25">
      <c r="A212" s="8">
        <v>17</v>
      </c>
      <c r="B212" s="8" t="s">
        <v>158</v>
      </c>
      <c r="C212" s="8" t="s">
        <v>301</v>
      </c>
      <c r="D212" s="8" t="s">
        <v>28</v>
      </c>
      <c r="E212" s="8" t="s">
        <v>29</v>
      </c>
      <c r="F212" s="8" t="s">
        <v>130</v>
      </c>
      <c r="G212" s="11">
        <v>0</v>
      </c>
      <c r="H212" s="11">
        <v>0.43407803900839542</v>
      </c>
      <c r="I212" s="11">
        <v>2.031482381418694</v>
      </c>
      <c r="J212" s="11">
        <v>0.27011205530314503</v>
      </c>
      <c r="K212" s="11">
        <v>30.597979144685119</v>
      </c>
      <c r="L212" s="11">
        <v>25.113544257186629</v>
      </c>
      <c r="M212" s="11">
        <v>85.372241243471635</v>
      </c>
    </row>
    <row r="213" spans="1:13" x14ac:dyDescent="0.25">
      <c r="A213" s="6">
        <v>18</v>
      </c>
      <c r="B213" s="6" t="s">
        <v>162</v>
      </c>
      <c r="C213" s="6" t="s">
        <v>300</v>
      </c>
      <c r="D213" s="6" t="s">
        <v>28</v>
      </c>
      <c r="E213" s="6" t="s">
        <v>29</v>
      </c>
      <c r="F213" s="6" t="s">
        <v>96</v>
      </c>
      <c r="G213" s="10">
        <v>0</v>
      </c>
      <c r="H213" s="10">
        <v>0.38306581509713777</v>
      </c>
      <c r="I213" s="10">
        <v>2.078327234216284</v>
      </c>
      <c r="J213" s="10">
        <v>0.20461421027387261</v>
      </c>
      <c r="K213" s="10">
        <v>36.808470594235978</v>
      </c>
      <c r="L213" s="10">
        <v>24.895439135578741</v>
      </c>
      <c r="M213" s="10">
        <v>77.229137978621239</v>
      </c>
    </row>
    <row r="214" spans="1:13" x14ac:dyDescent="0.25">
      <c r="A214" s="8">
        <v>18</v>
      </c>
      <c r="B214" s="8" t="s">
        <v>162</v>
      </c>
      <c r="C214" s="8" t="s">
        <v>301</v>
      </c>
      <c r="D214" s="8" t="s">
        <v>28</v>
      </c>
      <c r="E214" s="8" t="s">
        <v>29</v>
      </c>
      <c r="F214" s="8" t="s">
        <v>96</v>
      </c>
      <c r="G214" s="11">
        <v>0</v>
      </c>
      <c r="H214" s="11">
        <v>0.22156090055420241</v>
      </c>
      <c r="I214" s="11">
        <v>0</v>
      </c>
      <c r="J214" s="11">
        <v>0.11647473715777031</v>
      </c>
      <c r="K214" s="11">
        <v>21.52025885865341</v>
      </c>
      <c r="L214" s="11">
        <v>17.069852156212249</v>
      </c>
      <c r="M214" s="11">
        <v>102.738159054381</v>
      </c>
    </row>
    <row r="215" spans="1:13" x14ac:dyDescent="0.25">
      <c r="A215" s="6">
        <v>19</v>
      </c>
      <c r="B215" s="6" t="s">
        <v>165</v>
      </c>
      <c r="C215" s="6" t="s">
        <v>300</v>
      </c>
      <c r="D215" s="6" t="s">
        <v>28</v>
      </c>
      <c r="E215" s="6" t="s">
        <v>29</v>
      </c>
      <c r="F215" s="6" t="s">
        <v>96</v>
      </c>
      <c r="G215" s="10">
        <v>0</v>
      </c>
      <c r="H215" s="10">
        <v>0.38306581509713777</v>
      </c>
      <c r="I215" s="10">
        <v>2.1897722900283969</v>
      </c>
      <c r="J215" s="10">
        <v>0.27392076034226231</v>
      </c>
      <c r="K215" s="10">
        <v>38.075352356880842</v>
      </c>
      <c r="L215" s="10">
        <v>25.722958107605791</v>
      </c>
      <c r="M215" s="10">
        <v>79.472710896771332</v>
      </c>
    </row>
    <row r="216" spans="1:13" x14ac:dyDescent="0.25">
      <c r="A216" s="8">
        <v>19</v>
      </c>
      <c r="B216" s="8" t="s">
        <v>165</v>
      </c>
      <c r="C216" s="8" t="s">
        <v>301</v>
      </c>
      <c r="D216" s="8" t="s">
        <v>28</v>
      </c>
      <c r="E216" s="8" t="s">
        <v>29</v>
      </c>
      <c r="F216" s="8" t="s">
        <v>96</v>
      </c>
      <c r="G216" s="11">
        <v>0</v>
      </c>
      <c r="H216" s="11">
        <v>0.57197412560405814</v>
      </c>
      <c r="I216" s="11">
        <v>0.55256306869115623</v>
      </c>
      <c r="J216" s="11">
        <v>1.033360466311896</v>
      </c>
      <c r="K216" s="11">
        <v>27.609909695058061</v>
      </c>
      <c r="L216" s="11">
        <v>19.892928271907479</v>
      </c>
      <c r="M216" s="11">
        <v>96.565811989808935</v>
      </c>
    </row>
    <row r="217" spans="1:13" x14ac:dyDescent="0.25">
      <c r="A217" s="6">
        <v>20</v>
      </c>
      <c r="B217" s="6" t="s">
        <v>168</v>
      </c>
      <c r="C217" s="6" t="s">
        <v>300</v>
      </c>
      <c r="D217" s="6" t="s">
        <v>28</v>
      </c>
      <c r="E217" s="6" t="s">
        <v>29</v>
      </c>
      <c r="F217" s="6" t="s">
        <v>96</v>
      </c>
      <c r="G217" s="10">
        <v>0</v>
      </c>
      <c r="H217" s="10">
        <v>0.25917593164792052</v>
      </c>
      <c r="I217" s="10">
        <v>0.71970849070423348</v>
      </c>
      <c r="J217" s="10">
        <v>0</v>
      </c>
      <c r="K217" s="10">
        <v>36.700109732675372</v>
      </c>
      <c r="L217" s="10">
        <v>27.29337511764809</v>
      </c>
      <c r="M217" s="10">
        <v>76.745440672119003</v>
      </c>
    </row>
    <row r="218" spans="1:13" x14ac:dyDescent="0.25">
      <c r="A218" s="8">
        <v>20</v>
      </c>
      <c r="B218" s="8" t="s">
        <v>168</v>
      </c>
      <c r="C218" s="8" t="s">
        <v>301</v>
      </c>
      <c r="D218" s="8" t="s">
        <v>28</v>
      </c>
      <c r="E218" s="8" t="s">
        <v>29</v>
      </c>
      <c r="F218" s="8" t="s">
        <v>96</v>
      </c>
      <c r="G218" s="11">
        <v>0</v>
      </c>
      <c r="H218" s="11">
        <v>0.22156090055420241</v>
      </c>
      <c r="I218" s="11">
        <v>0</v>
      </c>
      <c r="J218" s="11">
        <v>0.11647473715777031</v>
      </c>
      <c r="K218" s="11">
        <v>21.563271544616299</v>
      </c>
      <c r="L218" s="11">
        <v>17.074263189728988</v>
      </c>
      <c r="M218" s="11">
        <v>102.738159054381</v>
      </c>
    </row>
    <row r="219" spans="1:13" x14ac:dyDescent="0.25">
      <c r="A219" s="6">
        <v>21</v>
      </c>
      <c r="B219" s="6" t="s">
        <v>171</v>
      </c>
      <c r="C219" s="6" t="s">
        <v>300</v>
      </c>
      <c r="D219" s="6" t="s">
        <v>28</v>
      </c>
      <c r="E219" s="6" t="s">
        <v>29</v>
      </c>
      <c r="F219" s="6" t="s">
        <v>96</v>
      </c>
      <c r="G219" s="10">
        <v>0</v>
      </c>
      <c r="H219" s="10">
        <v>0.38306581509713777</v>
      </c>
      <c r="I219" s="10">
        <v>2.3834357776949719</v>
      </c>
      <c r="J219" s="10">
        <v>0.20461421027387261</v>
      </c>
      <c r="K219" s="10">
        <v>40.286147423309231</v>
      </c>
      <c r="L219" s="10">
        <v>27.901828734973211</v>
      </c>
      <c r="M219" s="10">
        <v>82.42120168353226</v>
      </c>
    </row>
    <row r="220" spans="1:13" x14ac:dyDescent="0.25">
      <c r="A220" s="8">
        <v>21</v>
      </c>
      <c r="B220" s="8" t="s">
        <v>171</v>
      </c>
      <c r="C220" s="8" t="s">
        <v>301</v>
      </c>
      <c r="D220" s="8" t="s">
        <v>28</v>
      </c>
      <c r="E220" s="8" t="s">
        <v>29</v>
      </c>
      <c r="F220" s="8" t="s">
        <v>96</v>
      </c>
      <c r="G220" s="11">
        <v>0</v>
      </c>
      <c r="H220" s="11">
        <v>0.65269298090049266</v>
      </c>
      <c r="I220" s="11">
        <v>1.4671353884529701</v>
      </c>
      <c r="J220" s="11">
        <v>1.3169091629820999</v>
      </c>
      <c r="K220" s="11">
        <v>32.226640796549887</v>
      </c>
      <c r="L220" s="11">
        <v>24.26414905968165</v>
      </c>
      <c r="M220" s="11">
        <v>93.660508823399397</v>
      </c>
    </row>
    <row r="221" spans="1:13" x14ac:dyDescent="0.25">
      <c r="A221" s="6">
        <v>22</v>
      </c>
      <c r="B221" s="6" t="s">
        <v>173</v>
      </c>
      <c r="C221" s="6" t="s">
        <v>300</v>
      </c>
      <c r="D221" s="6" t="s">
        <v>28</v>
      </c>
      <c r="E221" s="6" t="s">
        <v>29</v>
      </c>
      <c r="F221" s="6" t="s">
        <v>96</v>
      </c>
      <c r="G221" s="10">
        <v>0</v>
      </c>
      <c r="H221" s="10">
        <v>0.48442489010916312</v>
      </c>
      <c r="I221" s="10">
        <v>0.3753728936893338</v>
      </c>
      <c r="J221" s="10">
        <v>0.18567692695020599</v>
      </c>
      <c r="K221" s="10">
        <v>43.705091986944623</v>
      </c>
      <c r="L221" s="10">
        <v>31.31100557837641</v>
      </c>
      <c r="M221" s="10">
        <v>65.770164610094071</v>
      </c>
    </row>
    <row r="222" spans="1:13" x14ac:dyDescent="0.25">
      <c r="A222" s="8">
        <v>22</v>
      </c>
      <c r="B222" s="8" t="s">
        <v>173</v>
      </c>
      <c r="C222" s="8" t="s">
        <v>301</v>
      </c>
      <c r="D222" s="8" t="s">
        <v>28</v>
      </c>
      <c r="E222" s="8" t="s">
        <v>29</v>
      </c>
      <c r="F222" s="8" t="s">
        <v>96</v>
      </c>
      <c r="G222" s="11">
        <v>0</v>
      </c>
      <c r="H222" s="11">
        <v>0.22156090055420241</v>
      </c>
      <c r="I222" s="11">
        <v>0</v>
      </c>
      <c r="J222" s="11">
        <v>0.11647473715777031</v>
      </c>
      <c r="K222" s="11">
        <v>21.5665214603954</v>
      </c>
      <c r="L222" s="11">
        <v>17.030681899116161</v>
      </c>
      <c r="M222" s="11">
        <v>102.738159054381</v>
      </c>
    </row>
    <row r="223" spans="1:13" x14ac:dyDescent="0.25">
      <c r="A223" s="6">
        <v>23</v>
      </c>
      <c r="B223" s="6" t="s">
        <v>176</v>
      </c>
      <c r="C223" s="6" t="s">
        <v>300</v>
      </c>
      <c r="D223" s="6" t="s">
        <v>28</v>
      </c>
      <c r="E223" s="6" t="s">
        <v>29</v>
      </c>
      <c r="F223" s="6" t="s">
        <v>130</v>
      </c>
      <c r="G223" s="10">
        <v>0</v>
      </c>
      <c r="H223" s="10">
        <v>0.34290254186703961</v>
      </c>
      <c r="I223" s="10">
        <v>1.0454776733830049</v>
      </c>
      <c r="J223" s="10">
        <v>0.40432001006129498</v>
      </c>
      <c r="K223" s="10">
        <v>41.471081570571563</v>
      </c>
      <c r="L223" s="10">
        <v>30.614880435193118</v>
      </c>
      <c r="M223" s="10">
        <v>63.969189047693213</v>
      </c>
    </row>
    <row r="224" spans="1:13" x14ac:dyDescent="0.25">
      <c r="A224" s="8">
        <v>23</v>
      </c>
      <c r="B224" s="8" t="s">
        <v>176</v>
      </c>
      <c r="C224" s="8" t="s">
        <v>301</v>
      </c>
      <c r="D224" s="8" t="s">
        <v>28</v>
      </c>
      <c r="E224" s="8" t="s">
        <v>29</v>
      </c>
      <c r="F224" s="8" t="s">
        <v>130</v>
      </c>
      <c r="G224" s="11">
        <v>0</v>
      </c>
      <c r="H224" s="11">
        <v>0.11699904226004509</v>
      </c>
      <c r="I224" s="11">
        <v>0.98289890323061291</v>
      </c>
      <c r="J224" s="11">
        <v>0.76496157447860036</v>
      </c>
      <c r="K224" s="11">
        <v>36.712209444916184</v>
      </c>
      <c r="L224" s="11">
        <v>25.040527354235781</v>
      </c>
      <c r="M224" s="11">
        <v>74.293641117732662</v>
      </c>
    </row>
    <row r="225" spans="1:13" x14ac:dyDescent="0.25">
      <c r="A225" s="6">
        <v>24</v>
      </c>
      <c r="B225" s="6" t="s">
        <v>178</v>
      </c>
      <c r="C225" s="6" t="s">
        <v>300</v>
      </c>
      <c r="D225" s="6" t="s">
        <v>28</v>
      </c>
      <c r="E225" s="6" t="s">
        <v>29</v>
      </c>
      <c r="F225" s="6" t="s">
        <v>130</v>
      </c>
      <c r="G225" s="10">
        <v>0</v>
      </c>
      <c r="H225" s="10">
        <v>0.43287959154678851</v>
      </c>
      <c r="I225" s="10">
        <v>0.5147545761381157</v>
      </c>
      <c r="J225" s="10">
        <v>0.73819242016004771</v>
      </c>
      <c r="K225" s="10">
        <v>38.040822350023817</v>
      </c>
      <c r="L225" s="10">
        <v>28.349735048175351</v>
      </c>
      <c r="M225" s="10">
        <v>56.945127768261933</v>
      </c>
    </row>
    <row r="226" spans="1:13" x14ac:dyDescent="0.25">
      <c r="A226" s="8">
        <v>24</v>
      </c>
      <c r="B226" s="8" t="s">
        <v>178</v>
      </c>
      <c r="C226" s="8" t="s">
        <v>301</v>
      </c>
      <c r="D226" s="8" t="s">
        <v>28</v>
      </c>
      <c r="E226" s="8" t="s">
        <v>29</v>
      </c>
      <c r="F226" s="8" t="s">
        <v>130</v>
      </c>
      <c r="G226" s="11">
        <v>0</v>
      </c>
      <c r="H226" s="11">
        <v>0.1090721560237224</v>
      </c>
      <c r="I226" s="11">
        <v>0.87722495457012495</v>
      </c>
      <c r="J226" s="11">
        <v>0</v>
      </c>
      <c r="K226" s="11">
        <v>28.213201619757211</v>
      </c>
      <c r="L226" s="11">
        <v>20.93633895165053</v>
      </c>
      <c r="M226" s="11">
        <v>73.751298912570178</v>
      </c>
    </row>
    <row r="227" spans="1:13" x14ac:dyDescent="0.25">
      <c r="A227" s="6">
        <v>25</v>
      </c>
      <c r="B227" s="6" t="s">
        <v>181</v>
      </c>
      <c r="C227" s="6" t="s">
        <v>300</v>
      </c>
      <c r="D227" s="6" t="s">
        <v>28</v>
      </c>
      <c r="E227" s="6" t="s">
        <v>29</v>
      </c>
      <c r="F227" s="6" t="s">
        <v>130</v>
      </c>
      <c r="G227" s="10">
        <v>0</v>
      </c>
      <c r="H227" s="10">
        <v>0.19263724537963819</v>
      </c>
      <c r="I227" s="10">
        <v>0.55895774646599539</v>
      </c>
      <c r="J227" s="10">
        <v>0.1091649650425091</v>
      </c>
      <c r="K227" s="10">
        <v>41.384212685216482</v>
      </c>
      <c r="L227" s="10">
        <v>26.988321053442991</v>
      </c>
      <c r="M227" s="10">
        <v>67.483594884180178</v>
      </c>
    </row>
    <row r="228" spans="1:13" x14ac:dyDescent="0.25">
      <c r="A228" s="8">
        <v>25</v>
      </c>
      <c r="B228" s="8" t="s">
        <v>181</v>
      </c>
      <c r="C228" s="8" t="s">
        <v>301</v>
      </c>
      <c r="D228" s="8" t="s">
        <v>28</v>
      </c>
      <c r="E228" s="8" t="s">
        <v>29</v>
      </c>
      <c r="F228" s="8" t="s">
        <v>130</v>
      </c>
      <c r="G228" s="11">
        <v>0</v>
      </c>
      <c r="H228" s="11">
        <v>0.11699904226004509</v>
      </c>
      <c r="I228" s="11">
        <v>0.96270223906633912</v>
      </c>
      <c r="J228" s="11">
        <v>0.78217538796692843</v>
      </c>
      <c r="K228" s="11">
        <v>36.712209444916184</v>
      </c>
      <c r="L228" s="11">
        <v>25.040527354235781</v>
      </c>
      <c r="M228" s="11">
        <v>74.293641117732662</v>
      </c>
    </row>
    <row r="229" spans="1:13" x14ac:dyDescent="0.25">
      <c r="A229" s="6">
        <v>26</v>
      </c>
      <c r="B229" s="6" t="s">
        <v>183</v>
      </c>
      <c r="C229" s="6" t="s">
        <v>300</v>
      </c>
      <c r="D229" s="6" t="s">
        <v>28</v>
      </c>
      <c r="E229" s="6" t="s">
        <v>29</v>
      </c>
      <c r="F229" s="6" t="s">
        <v>130</v>
      </c>
      <c r="G229" s="10">
        <v>0</v>
      </c>
      <c r="H229" s="10">
        <v>0.5585488688475958</v>
      </c>
      <c r="I229" s="10">
        <v>1.3470620501331301</v>
      </c>
      <c r="J229" s="10">
        <v>1.1588950583343161</v>
      </c>
      <c r="K229" s="10">
        <v>45.26405758465819</v>
      </c>
      <c r="L229" s="10">
        <v>33.585180420899938</v>
      </c>
      <c r="M229" s="10">
        <v>71.459183582966247</v>
      </c>
    </row>
    <row r="230" spans="1:13" x14ac:dyDescent="0.25">
      <c r="A230" s="8">
        <v>26</v>
      </c>
      <c r="B230" s="8" t="s">
        <v>183</v>
      </c>
      <c r="C230" s="8" t="s">
        <v>301</v>
      </c>
      <c r="D230" s="8" t="s">
        <v>28</v>
      </c>
      <c r="E230" s="8" t="s">
        <v>29</v>
      </c>
      <c r="F230" s="8" t="s">
        <v>130</v>
      </c>
      <c r="G230" s="11">
        <v>0</v>
      </c>
      <c r="H230" s="11">
        <v>0.34145817954491431</v>
      </c>
      <c r="I230" s="11">
        <v>0.5256426997626461</v>
      </c>
      <c r="J230" s="11">
        <v>1.2222826160609359</v>
      </c>
      <c r="K230" s="11">
        <v>30.18268163700424</v>
      </c>
      <c r="L230" s="11">
        <v>24.888619369878651</v>
      </c>
      <c r="M230" s="11">
        <v>96.902750674201656</v>
      </c>
    </row>
    <row r="231" spans="1:13" x14ac:dyDescent="0.25">
      <c r="A231" s="6">
        <v>27</v>
      </c>
      <c r="B231" s="6" t="s">
        <v>186</v>
      </c>
      <c r="C231" s="6" t="s">
        <v>300</v>
      </c>
      <c r="D231" s="6" t="s">
        <v>28</v>
      </c>
      <c r="E231" s="6" t="s">
        <v>29</v>
      </c>
      <c r="F231" s="6" t="s">
        <v>130</v>
      </c>
      <c r="G231" s="10">
        <v>0</v>
      </c>
      <c r="H231" s="10">
        <v>0.1769495542483206</v>
      </c>
      <c r="I231" s="10">
        <v>0.28644165794522208</v>
      </c>
      <c r="J231" s="10">
        <v>0.23768555241039721</v>
      </c>
      <c r="K231" s="10">
        <v>48.513466786391881</v>
      </c>
      <c r="L231" s="10">
        <v>34.664168060301797</v>
      </c>
      <c r="M231" s="10">
        <v>54.415752988771978</v>
      </c>
    </row>
    <row r="232" spans="1:13" x14ac:dyDescent="0.25">
      <c r="A232" s="8">
        <v>27</v>
      </c>
      <c r="B232" s="8" t="s">
        <v>186</v>
      </c>
      <c r="C232" s="8" t="s">
        <v>301</v>
      </c>
      <c r="D232" s="8" t="s">
        <v>28</v>
      </c>
      <c r="E232" s="8" t="s">
        <v>29</v>
      </c>
      <c r="F232" s="8" t="s">
        <v>130</v>
      </c>
      <c r="G232" s="11">
        <v>0</v>
      </c>
      <c r="H232" s="11">
        <v>0.11699904226004509</v>
      </c>
      <c r="I232" s="11">
        <v>0.95688081818818838</v>
      </c>
      <c r="J232" s="11">
        <v>0.74908888986193567</v>
      </c>
      <c r="K232" s="11">
        <v>36.712209444916184</v>
      </c>
      <c r="L232" s="11">
        <v>25.040527354235781</v>
      </c>
      <c r="M232" s="11">
        <v>74.293641117732662</v>
      </c>
    </row>
    <row r="233" spans="1:13" x14ac:dyDescent="0.25">
      <c r="A233" s="6">
        <v>28</v>
      </c>
      <c r="B233" s="6" t="s">
        <v>188</v>
      </c>
      <c r="C233" s="6" t="s">
        <v>300</v>
      </c>
      <c r="D233" s="6" t="s">
        <v>28</v>
      </c>
      <c r="E233" s="6" t="s">
        <v>29</v>
      </c>
      <c r="F233" s="6" t="s">
        <v>96</v>
      </c>
      <c r="G233" s="10">
        <v>0</v>
      </c>
      <c r="H233" s="10">
        <v>0.25917593164792052</v>
      </c>
      <c r="I233" s="10">
        <v>0.70863313939923567</v>
      </c>
      <c r="J233" s="10">
        <v>0</v>
      </c>
      <c r="K233" s="10">
        <v>37.603304668082593</v>
      </c>
      <c r="L233" s="10">
        <v>27.74280476419689</v>
      </c>
      <c r="M233" s="10">
        <v>79.592523770954102</v>
      </c>
    </row>
    <row r="234" spans="1:13" x14ac:dyDescent="0.25">
      <c r="A234" s="8">
        <v>28</v>
      </c>
      <c r="B234" s="8" t="s">
        <v>188</v>
      </c>
      <c r="C234" s="8" t="s">
        <v>301</v>
      </c>
      <c r="D234" s="8" t="s">
        <v>28</v>
      </c>
      <c r="E234" s="8" t="s">
        <v>29</v>
      </c>
      <c r="F234" s="8" t="s">
        <v>96</v>
      </c>
      <c r="G234" s="11">
        <v>0</v>
      </c>
      <c r="H234" s="11">
        <v>0.54905123843358739</v>
      </c>
      <c r="I234" s="11">
        <v>0.55256306869115623</v>
      </c>
      <c r="J234" s="11">
        <v>0.82406643556007364</v>
      </c>
      <c r="K234" s="11">
        <v>27.609909695058061</v>
      </c>
      <c r="L234" s="11">
        <v>19.892928271907479</v>
      </c>
      <c r="M234" s="11">
        <v>96.565811989808935</v>
      </c>
    </row>
    <row r="235" spans="1:13" x14ac:dyDescent="0.25">
      <c r="A235" s="6">
        <v>29</v>
      </c>
      <c r="B235" s="6" t="s">
        <v>192</v>
      </c>
      <c r="C235" s="6" t="s">
        <v>300</v>
      </c>
      <c r="D235" s="6" t="s">
        <v>28</v>
      </c>
      <c r="E235" s="6" t="s">
        <v>29</v>
      </c>
      <c r="F235" s="6" t="s">
        <v>96</v>
      </c>
      <c r="G235" s="10">
        <v>0</v>
      </c>
      <c r="H235" s="10">
        <v>0.37366038708160421</v>
      </c>
      <c r="I235" s="10">
        <v>0.81249600997082738</v>
      </c>
      <c r="J235" s="10">
        <v>0</v>
      </c>
      <c r="K235" s="10">
        <v>37.762458193898382</v>
      </c>
      <c r="L235" s="10">
        <v>27.857434291214389</v>
      </c>
      <c r="M235" s="10">
        <v>81.812407450945699</v>
      </c>
    </row>
    <row r="236" spans="1:13" x14ac:dyDescent="0.25">
      <c r="A236" s="8">
        <v>29</v>
      </c>
      <c r="B236" s="8" t="s">
        <v>192</v>
      </c>
      <c r="C236" s="8" t="s">
        <v>301</v>
      </c>
      <c r="D236" s="8" t="s">
        <v>28</v>
      </c>
      <c r="E236" s="8" t="s">
        <v>29</v>
      </c>
      <c r="F236" s="8" t="s">
        <v>96</v>
      </c>
      <c r="G236" s="11">
        <v>0</v>
      </c>
      <c r="H236" s="11">
        <v>0.65269298090049266</v>
      </c>
      <c r="I236" s="11">
        <v>1.2528480982183561</v>
      </c>
      <c r="J236" s="11">
        <v>1.149895932972568</v>
      </c>
      <c r="K236" s="11">
        <v>30.80621122533811</v>
      </c>
      <c r="L236" s="11">
        <v>23.37216669639708</v>
      </c>
      <c r="M236" s="11">
        <v>91.318408228731826</v>
      </c>
    </row>
    <row r="237" spans="1:13" x14ac:dyDescent="0.25">
      <c r="A237" s="6">
        <v>30</v>
      </c>
      <c r="B237" s="6" t="s">
        <v>194</v>
      </c>
      <c r="C237" s="6" t="s">
        <v>300</v>
      </c>
      <c r="D237" s="6" t="s">
        <v>28</v>
      </c>
      <c r="E237" s="6" t="s">
        <v>29</v>
      </c>
      <c r="F237" s="6" t="s">
        <v>96</v>
      </c>
      <c r="G237" s="10">
        <v>0</v>
      </c>
      <c r="H237" s="10">
        <v>0.69927270070112768</v>
      </c>
      <c r="I237" s="10">
        <v>0.46628567792614323</v>
      </c>
      <c r="J237" s="10">
        <v>0.25148530388149032</v>
      </c>
      <c r="K237" s="10">
        <v>44.949249206480651</v>
      </c>
      <c r="L237" s="10">
        <v>32.631645338813911</v>
      </c>
      <c r="M237" s="10">
        <v>66.979394276202214</v>
      </c>
    </row>
    <row r="238" spans="1:13" x14ac:dyDescent="0.25">
      <c r="A238" s="8">
        <v>30</v>
      </c>
      <c r="B238" s="8" t="s">
        <v>194</v>
      </c>
      <c r="C238" s="8" t="s">
        <v>301</v>
      </c>
      <c r="D238" s="8" t="s">
        <v>28</v>
      </c>
      <c r="E238" s="8" t="s">
        <v>29</v>
      </c>
      <c r="F238" s="8" t="s">
        <v>96</v>
      </c>
      <c r="G238" s="11">
        <v>0</v>
      </c>
      <c r="H238" s="11">
        <v>0.57528410887100834</v>
      </c>
      <c r="I238" s="11">
        <v>0.55256306869115623</v>
      </c>
      <c r="J238" s="11">
        <v>0.6833899734934139</v>
      </c>
      <c r="K238" s="11">
        <v>27.609909695058061</v>
      </c>
      <c r="L238" s="11">
        <v>19.892928271907479</v>
      </c>
      <c r="M238" s="11">
        <v>96.5752612810128</v>
      </c>
    </row>
    <row r="239" spans="1:13" x14ac:dyDescent="0.25">
      <c r="A239" s="6">
        <v>31</v>
      </c>
      <c r="B239" s="6" t="s">
        <v>198</v>
      </c>
      <c r="C239" s="6" t="s">
        <v>300</v>
      </c>
      <c r="D239" s="6" t="s">
        <v>28</v>
      </c>
      <c r="E239" s="6" t="s">
        <v>29</v>
      </c>
      <c r="F239" s="6" t="s">
        <v>130</v>
      </c>
      <c r="G239" s="10">
        <v>0</v>
      </c>
      <c r="H239" s="10">
        <v>0.42983924609536989</v>
      </c>
      <c r="I239" s="10">
        <v>5.8482869291778893E-2</v>
      </c>
      <c r="J239" s="10">
        <v>0.35482326921949731</v>
      </c>
      <c r="K239" s="10">
        <v>37.109061687706358</v>
      </c>
      <c r="L239" s="10">
        <v>23.384143051110669</v>
      </c>
      <c r="M239" s="10">
        <v>62.656294523540041</v>
      </c>
    </row>
    <row r="240" spans="1:13" x14ac:dyDescent="0.25">
      <c r="A240" s="8">
        <v>31</v>
      </c>
      <c r="B240" s="8" t="s">
        <v>198</v>
      </c>
      <c r="C240" s="8" t="s">
        <v>301</v>
      </c>
      <c r="D240" s="8" t="s">
        <v>28</v>
      </c>
      <c r="E240" s="8" t="s">
        <v>29</v>
      </c>
      <c r="F240" s="8" t="s">
        <v>130</v>
      </c>
      <c r="G240" s="11">
        <v>0</v>
      </c>
      <c r="H240" s="11">
        <v>0.1090721560237224</v>
      </c>
      <c r="I240" s="11">
        <v>0.87783172684814326</v>
      </c>
      <c r="J240" s="11">
        <v>0</v>
      </c>
      <c r="K240" s="11">
        <v>28.213201619757211</v>
      </c>
      <c r="L240" s="11">
        <v>20.93633895165053</v>
      </c>
      <c r="M240" s="11">
        <v>73.843830613428992</v>
      </c>
    </row>
    <row r="241" spans="1:13" x14ac:dyDescent="0.25">
      <c r="A241" s="6">
        <v>32</v>
      </c>
      <c r="B241" s="6" t="s">
        <v>201</v>
      </c>
      <c r="C241" s="6" t="s">
        <v>300</v>
      </c>
      <c r="D241" s="6" t="s">
        <v>28</v>
      </c>
      <c r="E241" s="6" t="s">
        <v>35</v>
      </c>
      <c r="F241" s="6" t="s">
        <v>76</v>
      </c>
      <c r="G241" s="10">
        <v>0.14191087104532421</v>
      </c>
      <c r="H241" s="10">
        <v>1.601243883509142</v>
      </c>
      <c r="I241" s="10">
        <v>0</v>
      </c>
      <c r="J241" s="10">
        <v>0.2289474824354939</v>
      </c>
      <c r="K241" s="10">
        <v>60.390008783948808</v>
      </c>
      <c r="L241" s="10">
        <v>48.618346688203523</v>
      </c>
      <c r="M241" s="10">
        <v>213.8473891466835</v>
      </c>
    </row>
    <row r="242" spans="1:13" x14ac:dyDescent="0.25">
      <c r="A242" s="8">
        <v>32</v>
      </c>
      <c r="B242" s="8" t="s">
        <v>201</v>
      </c>
      <c r="C242" s="8" t="s">
        <v>301</v>
      </c>
      <c r="D242" s="8" t="s">
        <v>28</v>
      </c>
      <c r="E242" s="8" t="s">
        <v>35</v>
      </c>
      <c r="F242" s="8" t="s">
        <v>76</v>
      </c>
      <c r="G242" s="11">
        <v>0</v>
      </c>
      <c r="H242" s="11">
        <v>0.2136487015115684</v>
      </c>
      <c r="I242" s="11">
        <v>0</v>
      </c>
      <c r="J242" s="11">
        <v>0.30731281945969252</v>
      </c>
      <c r="K242" s="11">
        <v>59.158885604214703</v>
      </c>
      <c r="L242" s="11">
        <v>41.619295306483529</v>
      </c>
      <c r="M242" s="11">
        <v>229.35471122561461</v>
      </c>
    </row>
    <row r="243" spans="1:13" x14ac:dyDescent="0.25">
      <c r="A243" s="6">
        <v>33</v>
      </c>
      <c r="B243" s="6" t="s">
        <v>205</v>
      </c>
      <c r="C243" s="6" t="s">
        <v>300</v>
      </c>
      <c r="D243" s="6" t="s">
        <v>28</v>
      </c>
      <c r="E243" s="6" t="s">
        <v>35</v>
      </c>
      <c r="F243" s="6" t="s">
        <v>76</v>
      </c>
      <c r="G243" s="10">
        <v>0.14191087104532421</v>
      </c>
      <c r="H243" s="10">
        <v>1.601243883509142</v>
      </c>
      <c r="I243" s="10">
        <v>0</v>
      </c>
      <c r="J243" s="10">
        <v>0.2289474824354939</v>
      </c>
      <c r="K243" s="10">
        <v>59.191315216437189</v>
      </c>
      <c r="L243" s="10">
        <v>47.930006827141881</v>
      </c>
      <c r="M243" s="10">
        <v>211.20157917584299</v>
      </c>
    </row>
    <row r="244" spans="1:13" x14ac:dyDescent="0.25">
      <c r="A244" s="8">
        <v>33</v>
      </c>
      <c r="B244" s="8" t="s">
        <v>205</v>
      </c>
      <c r="C244" s="8" t="s">
        <v>301</v>
      </c>
      <c r="D244" s="8" t="s">
        <v>28</v>
      </c>
      <c r="E244" s="8" t="s">
        <v>35</v>
      </c>
      <c r="F244" s="8" t="s">
        <v>76</v>
      </c>
      <c r="G244" s="11">
        <v>0</v>
      </c>
      <c r="H244" s="11">
        <v>8.3882197240028836E-2</v>
      </c>
      <c r="I244" s="11">
        <v>4.6840289826681099E-2</v>
      </c>
      <c r="J244" s="11">
        <v>0.24952844734976529</v>
      </c>
      <c r="K244" s="11">
        <v>61.459796257234032</v>
      </c>
      <c r="L244" s="11">
        <v>46.932577465389251</v>
      </c>
      <c r="M244" s="11">
        <v>212.15760828628709</v>
      </c>
    </row>
    <row r="245" spans="1:13" x14ac:dyDescent="0.25">
      <c r="A245" s="6">
        <v>34</v>
      </c>
      <c r="B245" s="6" t="s">
        <v>210</v>
      </c>
      <c r="C245" s="6" t="s">
        <v>300</v>
      </c>
      <c r="D245" s="6" t="s">
        <v>28</v>
      </c>
      <c r="E245" s="6" t="s">
        <v>29</v>
      </c>
      <c r="F245" s="6" t="s">
        <v>130</v>
      </c>
      <c r="G245" s="10">
        <v>0</v>
      </c>
      <c r="H245" s="10">
        <v>0.53888783763546344</v>
      </c>
      <c r="I245" s="10">
        <v>0.55895774646599539</v>
      </c>
      <c r="J245" s="10">
        <v>0.67988509001220443</v>
      </c>
      <c r="K245" s="10">
        <v>44.665977960802778</v>
      </c>
      <c r="L245" s="10">
        <v>29.461790710784889</v>
      </c>
      <c r="M245" s="10">
        <v>76.489180134545222</v>
      </c>
    </row>
    <row r="246" spans="1:13" x14ac:dyDescent="0.25">
      <c r="A246" s="8">
        <v>34</v>
      </c>
      <c r="B246" s="8" t="s">
        <v>210</v>
      </c>
      <c r="C246" s="8" t="s">
        <v>301</v>
      </c>
      <c r="D246" s="8" t="s">
        <v>28</v>
      </c>
      <c r="E246" s="8" t="s">
        <v>29</v>
      </c>
      <c r="F246" s="8" t="s">
        <v>130</v>
      </c>
      <c r="G246" s="11">
        <v>0</v>
      </c>
      <c r="H246" s="11">
        <v>0.32127343254929702</v>
      </c>
      <c r="I246" s="11">
        <v>0.5256426997626461</v>
      </c>
      <c r="J246" s="11">
        <v>1.2222826160609359</v>
      </c>
      <c r="K246" s="11">
        <v>30.18268163700424</v>
      </c>
      <c r="L246" s="11">
        <v>24.87772879183483</v>
      </c>
      <c r="M246" s="11">
        <v>96.902750674201656</v>
      </c>
    </row>
    <row r="247" spans="1:13" x14ac:dyDescent="0.25">
      <c r="A247" s="6">
        <v>35</v>
      </c>
      <c r="B247" s="6" t="s">
        <v>212</v>
      </c>
      <c r="C247" s="6" t="s">
        <v>300</v>
      </c>
      <c r="D247" s="6" t="s">
        <v>28</v>
      </c>
      <c r="E247" s="6" t="s">
        <v>29</v>
      </c>
      <c r="F247" s="6" t="s">
        <v>130</v>
      </c>
      <c r="G247" s="10">
        <v>0</v>
      </c>
      <c r="H247" s="10">
        <v>7.0507928329398672E-2</v>
      </c>
      <c r="I247" s="10">
        <v>0.1448841273528465</v>
      </c>
      <c r="J247" s="10">
        <v>0.25921076400223497</v>
      </c>
      <c r="K247" s="10">
        <v>43.798166138630357</v>
      </c>
      <c r="L247" s="10">
        <v>31.327707045503551</v>
      </c>
      <c r="M247" s="10">
        <v>50.141193298572247</v>
      </c>
    </row>
    <row r="248" spans="1:13" x14ac:dyDescent="0.25">
      <c r="A248" s="8">
        <v>35</v>
      </c>
      <c r="B248" s="8" t="s">
        <v>212</v>
      </c>
      <c r="C248" s="8" t="s">
        <v>301</v>
      </c>
      <c r="D248" s="8" t="s">
        <v>28</v>
      </c>
      <c r="E248" s="8" t="s">
        <v>29</v>
      </c>
      <c r="F248" s="8" t="s">
        <v>130</v>
      </c>
      <c r="G248" s="11">
        <v>0</v>
      </c>
      <c r="H248" s="11">
        <v>0.1090721560237224</v>
      </c>
      <c r="I248" s="11">
        <v>0.85914424303480363</v>
      </c>
      <c r="J248" s="11">
        <v>0</v>
      </c>
      <c r="K248" s="11">
        <v>28.213201619757211</v>
      </c>
      <c r="L248" s="11">
        <v>20.93633895165053</v>
      </c>
      <c r="M248" s="11">
        <v>73.864623033822284</v>
      </c>
    </row>
    <row r="249" spans="1:13" x14ac:dyDescent="0.25">
      <c r="A249" s="6">
        <v>36</v>
      </c>
      <c r="B249" s="6" t="s">
        <v>214</v>
      </c>
      <c r="C249" s="6" t="s">
        <v>300</v>
      </c>
      <c r="D249" s="6" t="s">
        <v>28</v>
      </c>
      <c r="E249" s="6" t="s">
        <v>35</v>
      </c>
      <c r="F249" s="6" t="s">
        <v>88</v>
      </c>
      <c r="G249" s="10">
        <v>7.3400927521957676E-2</v>
      </c>
      <c r="H249" s="10">
        <v>0.70180496243028956</v>
      </c>
      <c r="I249" s="10">
        <v>4.5554317839269158E-2</v>
      </c>
      <c r="J249" s="10">
        <v>1.402436801450748</v>
      </c>
      <c r="K249" s="10">
        <v>43.073610496415832</v>
      </c>
      <c r="L249" s="10">
        <v>38.728575105778127</v>
      </c>
      <c r="M249" s="10">
        <v>242.43273005286389</v>
      </c>
    </row>
    <row r="250" spans="1:13" x14ac:dyDescent="0.25">
      <c r="A250" s="8">
        <v>36</v>
      </c>
      <c r="B250" s="8" t="s">
        <v>214</v>
      </c>
      <c r="C250" s="8" t="s">
        <v>301</v>
      </c>
      <c r="D250" s="8" t="s">
        <v>28</v>
      </c>
      <c r="E250" s="8" t="s">
        <v>35</v>
      </c>
      <c r="F250" s="8" t="s">
        <v>88</v>
      </c>
      <c r="G250" s="11">
        <v>0</v>
      </c>
      <c r="H250" s="11">
        <v>0.34734042341449439</v>
      </c>
      <c r="I250" s="11">
        <v>0</v>
      </c>
      <c r="J250" s="11">
        <v>0.45457411253170432</v>
      </c>
      <c r="K250" s="11">
        <v>60.408704745590633</v>
      </c>
      <c r="L250" s="11">
        <v>48.510694040374013</v>
      </c>
      <c r="M250" s="11">
        <v>216.86930410634201</v>
      </c>
    </row>
    <row r="251" spans="1:13" x14ac:dyDescent="0.25">
      <c r="A251" s="6">
        <v>37</v>
      </c>
      <c r="B251" s="6" t="s">
        <v>218</v>
      </c>
      <c r="C251" s="6" t="s">
        <v>300</v>
      </c>
      <c r="D251" s="6" t="s">
        <v>28</v>
      </c>
      <c r="E251" s="6" t="s">
        <v>35</v>
      </c>
      <c r="F251" s="6" t="s">
        <v>76</v>
      </c>
      <c r="G251" s="10">
        <v>0.30535713043367269</v>
      </c>
      <c r="H251" s="10">
        <v>0.14094843113112021</v>
      </c>
      <c r="I251" s="10">
        <v>5.4215425897099186E-3</v>
      </c>
      <c r="J251" s="10">
        <v>0.92447727733159768</v>
      </c>
      <c r="K251" s="10">
        <v>30.514332664280492</v>
      </c>
      <c r="L251" s="10">
        <v>28.675992224263862</v>
      </c>
      <c r="M251" s="10">
        <v>188.56031910176461</v>
      </c>
    </row>
    <row r="252" spans="1:13" x14ac:dyDescent="0.25">
      <c r="A252" s="8">
        <v>37</v>
      </c>
      <c r="B252" s="8" t="s">
        <v>218</v>
      </c>
      <c r="C252" s="8" t="s">
        <v>301</v>
      </c>
      <c r="D252" s="8" t="s">
        <v>28</v>
      </c>
      <c r="E252" s="8" t="s">
        <v>35</v>
      </c>
      <c r="F252" s="8" t="s">
        <v>76</v>
      </c>
      <c r="G252" s="11">
        <v>0</v>
      </c>
      <c r="H252" s="11">
        <v>8.3882197240028836E-2</v>
      </c>
      <c r="I252" s="11">
        <v>2.4298019276443351E-2</v>
      </c>
      <c r="J252" s="11">
        <v>0.2309310830082773</v>
      </c>
      <c r="K252" s="11">
        <v>45.486197913377573</v>
      </c>
      <c r="L252" s="11">
        <v>34.428473200240241</v>
      </c>
      <c r="M252" s="11">
        <v>169.6534187990338</v>
      </c>
    </row>
    <row r="253" spans="1:13" x14ac:dyDescent="0.25">
      <c r="A253" s="6">
        <v>38</v>
      </c>
      <c r="B253" s="6" t="s">
        <v>223</v>
      </c>
      <c r="C253" s="6" t="s">
        <v>300</v>
      </c>
      <c r="D253" s="6" t="s">
        <v>28</v>
      </c>
      <c r="E253" s="6" t="s">
        <v>31</v>
      </c>
      <c r="F253" s="6" t="s">
        <v>31</v>
      </c>
      <c r="G253" s="10">
        <v>0.1423627546916193</v>
      </c>
      <c r="H253" s="10">
        <v>0.19087658536061269</v>
      </c>
      <c r="I253" s="10">
        <v>0.1087001286100384</v>
      </c>
      <c r="J253" s="10">
        <v>0.39868431866922599</v>
      </c>
      <c r="K253" s="10">
        <v>67.358249040373622</v>
      </c>
      <c r="L253" s="10">
        <v>52.262791432987221</v>
      </c>
      <c r="M253" s="10">
        <v>205.89310831389679</v>
      </c>
    </row>
    <row r="254" spans="1:13" x14ac:dyDescent="0.25">
      <c r="A254" s="8">
        <v>38</v>
      </c>
      <c r="B254" s="8" t="s">
        <v>223</v>
      </c>
      <c r="C254" s="8" t="s">
        <v>301</v>
      </c>
      <c r="D254" s="8" t="s">
        <v>28</v>
      </c>
      <c r="E254" s="8" t="s">
        <v>31</v>
      </c>
      <c r="F254" s="8" t="s">
        <v>31</v>
      </c>
      <c r="G254" s="11">
        <v>0</v>
      </c>
      <c r="H254" s="11">
        <v>0.54761889554039</v>
      </c>
      <c r="I254" s="11">
        <v>5.0473616639224998E-2</v>
      </c>
      <c r="J254" s="11">
        <v>0.94513627935308775</v>
      </c>
      <c r="K254" s="11">
        <v>50.571016219655441</v>
      </c>
      <c r="L254" s="11">
        <v>45.612596971397018</v>
      </c>
      <c r="M254" s="11">
        <v>228.21925521167481</v>
      </c>
    </row>
    <row r="255" spans="1:13" x14ac:dyDescent="0.25">
      <c r="A255" s="6">
        <v>39</v>
      </c>
      <c r="B255" s="6" t="s">
        <v>229</v>
      </c>
      <c r="C255" s="6" t="s">
        <v>300</v>
      </c>
      <c r="D255" s="6" t="s">
        <v>28</v>
      </c>
      <c r="E255" s="6" t="s">
        <v>31</v>
      </c>
      <c r="F255" s="6" t="s">
        <v>31</v>
      </c>
      <c r="G255" s="10">
        <v>0.1423627546916193</v>
      </c>
      <c r="H255" s="10">
        <v>0.19087658536061269</v>
      </c>
      <c r="I255" s="10">
        <v>0.1087001286100384</v>
      </c>
      <c r="J255" s="10">
        <v>0.37808500805927941</v>
      </c>
      <c r="K255" s="10">
        <v>67.007992810224437</v>
      </c>
      <c r="L255" s="10">
        <v>52.066282694191528</v>
      </c>
      <c r="M255" s="10">
        <v>205.52161381979761</v>
      </c>
    </row>
    <row r="256" spans="1:13" x14ac:dyDescent="0.25">
      <c r="A256" s="8">
        <v>39</v>
      </c>
      <c r="B256" s="8" t="s">
        <v>229</v>
      </c>
      <c r="C256" s="8" t="s">
        <v>301</v>
      </c>
      <c r="D256" s="8" t="s">
        <v>28</v>
      </c>
      <c r="E256" s="8" t="s">
        <v>31</v>
      </c>
      <c r="F256" s="8" t="s">
        <v>31</v>
      </c>
      <c r="G256" s="11">
        <v>0</v>
      </c>
      <c r="H256" s="11">
        <v>0.90317783554809627</v>
      </c>
      <c r="I256" s="11">
        <v>0.1049872832033934</v>
      </c>
      <c r="J256" s="11">
        <v>0.63732161434013213</v>
      </c>
      <c r="K256" s="11">
        <v>52.912666076357993</v>
      </c>
      <c r="L256" s="11">
        <v>38.055957494648879</v>
      </c>
      <c r="M256" s="11">
        <v>232.43940737094141</v>
      </c>
    </row>
    <row r="257" spans="1:13" x14ac:dyDescent="0.25">
      <c r="A257" s="6">
        <v>40</v>
      </c>
      <c r="B257" s="6" t="s">
        <v>234</v>
      </c>
      <c r="C257" s="6" t="s">
        <v>300</v>
      </c>
      <c r="D257" s="6" t="s">
        <v>28</v>
      </c>
      <c r="E257" s="6" t="s">
        <v>31</v>
      </c>
      <c r="F257" s="6" t="s">
        <v>31</v>
      </c>
      <c r="G257" s="10">
        <v>0.1423627546916193</v>
      </c>
      <c r="H257" s="10">
        <v>0.19087658536061269</v>
      </c>
      <c r="I257" s="10">
        <v>0.1087001286100384</v>
      </c>
      <c r="J257" s="10">
        <v>0.39868431866922599</v>
      </c>
      <c r="K257" s="10">
        <v>67.358249040373622</v>
      </c>
      <c r="L257" s="10">
        <v>52.27381680184341</v>
      </c>
      <c r="M257" s="10">
        <v>205.9508621472857</v>
      </c>
    </row>
    <row r="258" spans="1:13" x14ac:dyDescent="0.25">
      <c r="A258" s="8">
        <v>40</v>
      </c>
      <c r="B258" s="8" t="s">
        <v>234</v>
      </c>
      <c r="C258" s="8" t="s">
        <v>301</v>
      </c>
      <c r="D258" s="8" t="s">
        <v>28</v>
      </c>
      <c r="E258" s="8" t="s">
        <v>31</v>
      </c>
      <c r="F258" s="8" t="s">
        <v>31</v>
      </c>
      <c r="G258" s="11">
        <v>0</v>
      </c>
      <c r="H258" s="11">
        <v>2.1664931883547331E-3</v>
      </c>
      <c r="I258" s="11">
        <v>4.085835435001741E-2</v>
      </c>
      <c r="J258" s="11">
        <v>0.36129624957342932</v>
      </c>
      <c r="K258" s="11">
        <v>42.505617415062652</v>
      </c>
      <c r="L258" s="11">
        <v>30.728695534576911</v>
      </c>
      <c r="M258" s="11">
        <v>252.31347506200601</v>
      </c>
    </row>
    <row r="259" spans="1:13" x14ac:dyDescent="0.25">
      <c r="A259" s="6">
        <v>41</v>
      </c>
      <c r="B259" s="6" t="s">
        <v>238</v>
      </c>
      <c r="C259" s="6" t="s">
        <v>300</v>
      </c>
      <c r="D259" s="6" t="s">
        <v>28</v>
      </c>
      <c r="E259" s="6" t="s">
        <v>31</v>
      </c>
      <c r="F259" s="6" t="s">
        <v>31</v>
      </c>
      <c r="G259" s="10">
        <v>5.2222732101069563E-2</v>
      </c>
      <c r="H259" s="10">
        <v>0.12701409600270411</v>
      </c>
      <c r="I259" s="10">
        <v>3.1548608690509579E-2</v>
      </c>
      <c r="J259" s="10">
        <v>0.16750319091501231</v>
      </c>
      <c r="K259" s="10">
        <v>59.993505539180077</v>
      </c>
      <c r="L259" s="10">
        <v>53.823119668093447</v>
      </c>
      <c r="M259" s="10">
        <v>211.25438556095691</v>
      </c>
    </row>
    <row r="260" spans="1:13" x14ac:dyDescent="0.25">
      <c r="A260" s="8">
        <v>41</v>
      </c>
      <c r="B260" s="8" t="s">
        <v>238</v>
      </c>
      <c r="C260" s="8" t="s">
        <v>301</v>
      </c>
      <c r="D260" s="8" t="s">
        <v>28</v>
      </c>
      <c r="E260" s="8" t="s">
        <v>31</v>
      </c>
      <c r="F260" s="8" t="s">
        <v>31</v>
      </c>
      <c r="G260" s="11">
        <v>0</v>
      </c>
      <c r="H260" s="11">
        <v>0.54761889554039</v>
      </c>
      <c r="I260" s="11">
        <v>5.0473616639224998E-2</v>
      </c>
      <c r="J260" s="11">
        <v>0.94513627935308775</v>
      </c>
      <c r="K260" s="11">
        <v>50.235548888441691</v>
      </c>
      <c r="L260" s="11">
        <v>45.362202854839133</v>
      </c>
      <c r="M260" s="11">
        <v>228.0564978626206</v>
      </c>
    </row>
    <row r="261" spans="1:13" x14ac:dyDescent="0.25">
      <c r="A261" s="6">
        <v>42</v>
      </c>
      <c r="B261" s="6" t="s">
        <v>242</v>
      </c>
      <c r="C261" s="6" t="s">
        <v>300</v>
      </c>
      <c r="D261" s="6" t="s">
        <v>28</v>
      </c>
      <c r="E261" s="6" t="s">
        <v>33</v>
      </c>
      <c r="F261" s="6" t="s">
        <v>33</v>
      </c>
      <c r="G261" s="10">
        <v>0.1119717603069536</v>
      </c>
      <c r="H261" s="10">
        <v>8.2158448585864255E-2</v>
      </c>
      <c r="I261" s="10">
        <v>1.643615657683831E-2</v>
      </c>
      <c r="J261" s="10">
        <v>0.5125712172728395</v>
      </c>
      <c r="K261" s="10">
        <v>67.117549684267743</v>
      </c>
      <c r="L261" s="10">
        <v>56.356321664556063</v>
      </c>
      <c r="M261" s="10">
        <v>197.66418683099539</v>
      </c>
    </row>
    <row r="262" spans="1:13" x14ac:dyDescent="0.25">
      <c r="A262" s="8">
        <v>42</v>
      </c>
      <c r="B262" s="8" t="s">
        <v>242</v>
      </c>
      <c r="C262" s="8" t="s">
        <v>301</v>
      </c>
      <c r="D262" s="8" t="s">
        <v>28</v>
      </c>
      <c r="E262" s="8" t="s">
        <v>33</v>
      </c>
      <c r="F262" s="8" t="s">
        <v>33</v>
      </c>
      <c r="G262" s="11">
        <v>0</v>
      </c>
      <c r="H262" s="11">
        <v>0.47667835410688608</v>
      </c>
      <c r="I262" s="11">
        <v>1.27297174998127E-2</v>
      </c>
      <c r="J262" s="11">
        <v>0.4202840859765154</v>
      </c>
      <c r="K262" s="11">
        <v>40.651361378664021</v>
      </c>
      <c r="L262" s="11">
        <v>31.659462752029832</v>
      </c>
      <c r="M262" s="11">
        <v>249.21290311643861</v>
      </c>
    </row>
    <row r="263" spans="1:13" x14ac:dyDescent="0.25">
      <c r="A263" s="6">
        <v>43</v>
      </c>
      <c r="B263" s="6" t="s">
        <v>248</v>
      </c>
      <c r="C263" s="6" t="s">
        <v>300</v>
      </c>
      <c r="D263" s="6" t="s">
        <v>28</v>
      </c>
      <c r="E263" s="6" t="s">
        <v>33</v>
      </c>
      <c r="F263" s="6" t="s">
        <v>33</v>
      </c>
      <c r="G263" s="10">
        <v>0.1119717603069536</v>
      </c>
      <c r="H263" s="10">
        <v>0.2137910036648912</v>
      </c>
      <c r="I263" s="10">
        <v>2.66289259127734E-2</v>
      </c>
      <c r="J263" s="10">
        <v>0.53192012036127867</v>
      </c>
      <c r="K263" s="10">
        <v>67.235218047696108</v>
      </c>
      <c r="L263" s="10">
        <v>56.319756834393488</v>
      </c>
      <c r="M263" s="10">
        <v>197.7381876113653</v>
      </c>
    </row>
    <row r="264" spans="1:13" x14ac:dyDescent="0.25">
      <c r="A264" s="8">
        <v>43</v>
      </c>
      <c r="B264" s="8" t="s">
        <v>248</v>
      </c>
      <c r="C264" s="8" t="s">
        <v>301</v>
      </c>
      <c r="D264" s="8" t="s">
        <v>28</v>
      </c>
      <c r="E264" s="8" t="s">
        <v>33</v>
      </c>
      <c r="F264" s="8" t="s">
        <v>33</v>
      </c>
      <c r="G264" s="11">
        <v>0</v>
      </c>
      <c r="H264" s="11">
        <v>0.45036794227206151</v>
      </c>
      <c r="I264" s="11">
        <v>6.3170939991916364E-2</v>
      </c>
      <c r="J264" s="11">
        <v>0.89965978323865836</v>
      </c>
      <c r="K264" s="11">
        <v>58.376029715565082</v>
      </c>
      <c r="L264" s="11">
        <v>42.972091125409762</v>
      </c>
      <c r="M264" s="11">
        <v>218.8656286111331</v>
      </c>
    </row>
    <row r="265" spans="1:13" x14ac:dyDescent="0.25">
      <c r="A265" s="6">
        <v>44</v>
      </c>
      <c r="B265" s="6" t="s">
        <v>254</v>
      </c>
      <c r="C265" s="6" t="s">
        <v>300</v>
      </c>
      <c r="D265" s="6" t="s">
        <v>28</v>
      </c>
      <c r="E265" s="6" t="s">
        <v>33</v>
      </c>
      <c r="F265" s="6" t="s">
        <v>33</v>
      </c>
      <c r="G265" s="10">
        <v>0</v>
      </c>
      <c r="H265" s="10">
        <v>0.24021946013287521</v>
      </c>
      <c r="I265" s="10">
        <v>0.21586370090681031</v>
      </c>
      <c r="J265" s="10">
        <v>0.59248667710547542</v>
      </c>
      <c r="K265" s="10">
        <v>70.970852140693879</v>
      </c>
      <c r="L265" s="10">
        <v>57.389927718761932</v>
      </c>
      <c r="M265" s="10">
        <v>195.02043862678869</v>
      </c>
    </row>
    <row r="266" spans="1:13" x14ac:dyDescent="0.25">
      <c r="A266" s="8">
        <v>44</v>
      </c>
      <c r="B266" s="8" t="s">
        <v>254</v>
      </c>
      <c r="C266" s="8" t="s">
        <v>301</v>
      </c>
      <c r="D266" s="8" t="s">
        <v>28</v>
      </c>
      <c r="E266" s="8" t="s">
        <v>33</v>
      </c>
      <c r="F266" s="8" t="s">
        <v>33</v>
      </c>
      <c r="G266" s="11">
        <v>0</v>
      </c>
      <c r="H266" s="11">
        <v>0.34786384859507741</v>
      </c>
      <c r="I266" s="11">
        <v>1.27297174998127E-2</v>
      </c>
      <c r="J266" s="11">
        <v>0.4202840859765154</v>
      </c>
      <c r="K266" s="11">
        <v>41.502099869045793</v>
      </c>
      <c r="L266" s="11">
        <v>32.234391519954421</v>
      </c>
      <c r="M266" s="11">
        <v>250.51769768747249</v>
      </c>
    </row>
    <row r="267" spans="1:13" x14ac:dyDescent="0.25">
      <c r="A267" s="6">
        <v>45</v>
      </c>
      <c r="B267" s="6" t="s">
        <v>259</v>
      </c>
      <c r="C267" s="6" t="s">
        <v>300</v>
      </c>
      <c r="D267" s="6" t="s">
        <v>28</v>
      </c>
      <c r="E267" s="6" t="s">
        <v>33</v>
      </c>
      <c r="F267" s="6" t="s">
        <v>33</v>
      </c>
      <c r="G267" s="10">
        <v>0.1119717603069536</v>
      </c>
      <c r="H267" s="10">
        <v>0.2137910036648912</v>
      </c>
      <c r="I267" s="10">
        <v>2.66289259127734E-2</v>
      </c>
      <c r="J267" s="10">
        <v>0.56215733478846408</v>
      </c>
      <c r="K267" s="10">
        <v>67.301100613028154</v>
      </c>
      <c r="L267" s="10">
        <v>56.319756834393488</v>
      </c>
      <c r="M267" s="10">
        <v>197.7381876113653</v>
      </c>
    </row>
    <row r="268" spans="1:13" x14ac:dyDescent="0.25">
      <c r="A268" s="8">
        <v>45</v>
      </c>
      <c r="B268" s="8" t="s">
        <v>259</v>
      </c>
      <c r="C268" s="8" t="s">
        <v>301</v>
      </c>
      <c r="D268" s="8" t="s">
        <v>28</v>
      </c>
      <c r="E268" s="8" t="s">
        <v>33</v>
      </c>
      <c r="F268" s="8" t="s">
        <v>33</v>
      </c>
      <c r="G268" s="11">
        <v>0</v>
      </c>
      <c r="H268" s="11">
        <v>0.44332241051292248</v>
      </c>
      <c r="I268" s="11">
        <v>0.428265735708522</v>
      </c>
      <c r="J268" s="11">
        <v>0.51104472499002784</v>
      </c>
      <c r="K268" s="11">
        <v>36.197264170490961</v>
      </c>
      <c r="L268" s="11">
        <v>28.879561718426849</v>
      </c>
      <c r="M268" s="11">
        <v>256.18752385879287</v>
      </c>
    </row>
    <row r="269" spans="1:13" x14ac:dyDescent="0.25">
      <c r="A269" s="6">
        <v>46</v>
      </c>
      <c r="B269" s="6" t="s">
        <v>263</v>
      </c>
      <c r="C269" s="6" t="s">
        <v>300</v>
      </c>
      <c r="D269" s="6" t="s">
        <v>28</v>
      </c>
      <c r="E269" s="6" t="s">
        <v>33</v>
      </c>
      <c r="F269" s="6" t="s">
        <v>33</v>
      </c>
      <c r="G269" s="10">
        <v>8.8935996553685642E-2</v>
      </c>
      <c r="H269" s="10">
        <v>0.1794253337608642</v>
      </c>
      <c r="I269" s="10">
        <v>5.059730733317578E-2</v>
      </c>
      <c r="J269" s="10">
        <v>0.57665162648251256</v>
      </c>
      <c r="K269" s="10">
        <v>63.807175975714962</v>
      </c>
      <c r="L269" s="10">
        <v>54.004262033049137</v>
      </c>
      <c r="M269" s="10">
        <v>206.22798010798391</v>
      </c>
    </row>
    <row r="270" spans="1:13" x14ac:dyDescent="0.25">
      <c r="A270" s="8">
        <v>46</v>
      </c>
      <c r="B270" s="8" t="s">
        <v>263</v>
      </c>
      <c r="C270" s="8" t="s">
        <v>301</v>
      </c>
      <c r="D270" s="8" t="s">
        <v>28</v>
      </c>
      <c r="E270" s="8" t="s">
        <v>33</v>
      </c>
      <c r="F270" s="8" t="s">
        <v>33</v>
      </c>
      <c r="G270" s="11">
        <v>0</v>
      </c>
      <c r="H270" s="11">
        <v>0.47667835410688608</v>
      </c>
      <c r="I270" s="11">
        <v>1.27297174998127E-2</v>
      </c>
      <c r="J270" s="11">
        <v>0.4202840859765154</v>
      </c>
      <c r="K270" s="11">
        <v>41.502099869045793</v>
      </c>
      <c r="L270" s="11">
        <v>32.504544856726113</v>
      </c>
      <c r="M270" s="11">
        <v>250.81001115689449</v>
      </c>
    </row>
    <row r="271" spans="1:13" x14ac:dyDescent="0.25">
      <c r="A271" s="6">
        <v>47</v>
      </c>
      <c r="B271" s="6" t="s">
        <v>266</v>
      </c>
      <c r="C271" s="6" t="s">
        <v>300</v>
      </c>
      <c r="D271" s="6" t="s">
        <v>28</v>
      </c>
      <c r="E271" s="6" t="s">
        <v>31</v>
      </c>
      <c r="F271" s="6" t="s">
        <v>31</v>
      </c>
      <c r="G271" s="10">
        <v>5.2222732101069563E-2</v>
      </c>
      <c r="H271" s="10">
        <v>0.12701409600270411</v>
      </c>
      <c r="I271" s="10">
        <v>3.1548608690509579E-2</v>
      </c>
      <c r="J271" s="10">
        <v>0.16750319091501231</v>
      </c>
      <c r="K271" s="10">
        <v>59.945805897200891</v>
      </c>
      <c r="L271" s="10">
        <v>53.823119668093447</v>
      </c>
      <c r="M271" s="10">
        <v>211.23443710140779</v>
      </c>
    </row>
    <row r="272" spans="1:13" x14ac:dyDescent="0.25">
      <c r="A272" s="8">
        <v>47</v>
      </c>
      <c r="B272" s="8" t="s">
        <v>266</v>
      </c>
      <c r="C272" s="8" t="s">
        <v>301</v>
      </c>
      <c r="D272" s="8" t="s">
        <v>28</v>
      </c>
      <c r="E272" s="8" t="s">
        <v>31</v>
      </c>
      <c r="F272" s="8" t="s">
        <v>31</v>
      </c>
      <c r="G272" s="11">
        <v>0</v>
      </c>
      <c r="H272" s="11">
        <v>0.90317783554809627</v>
      </c>
      <c r="I272" s="11">
        <v>0.108236844142404</v>
      </c>
      <c r="J272" s="11">
        <v>0.64815348413888652</v>
      </c>
      <c r="K272" s="11">
        <v>52.960680605724093</v>
      </c>
      <c r="L272" s="11">
        <v>38.363873389086699</v>
      </c>
      <c r="M272" s="11">
        <v>232.18900722070151</v>
      </c>
    </row>
    <row r="273" spans="1:13" x14ac:dyDescent="0.25">
      <c r="A273" s="6">
        <v>48</v>
      </c>
      <c r="B273" s="6" t="s">
        <v>269</v>
      </c>
      <c r="C273" s="6" t="s">
        <v>300</v>
      </c>
      <c r="D273" s="6" t="s">
        <v>28</v>
      </c>
      <c r="E273" s="6" t="s">
        <v>33</v>
      </c>
      <c r="F273" s="6" t="s">
        <v>33</v>
      </c>
      <c r="G273" s="10">
        <v>0</v>
      </c>
      <c r="H273" s="10">
        <v>0.24021946013287521</v>
      </c>
      <c r="I273" s="10">
        <v>0.21586370090681031</v>
      </c>
      <c r="J273" s="10">
        <v>0.59801557616878198</v>
      </c>
      <c r="K273" s="10">
        <v>71.216839058001057</v>
      </c>
      <c r="L273" s="10">
        <v>57.608886510204798</v>
      </c>
      <c r="M273" s="10">
        <v>195.5190827900918</v>
      </c>
    </row>
    <row r="274" spans="1:13" x14ac:dyDescent="0.25">
      <c r="A274" s="8">
        <v>48</v>
      </c>
      <c r="B274" s="8" t="s">
        <v>269</v>
      </c>
      <c r="C274" s="8" t="s">
        <v>301</v>
      </c>
      <c r="D274" s="8" t="s">
        <v>28</v>
      </c>
      <c r="E274" s="8" t="s">
        <v>33</v>
      </c>
      <c r="F274" s="8" t="s">
        <v>33</v>
      </c>
      <c r="G274" s="11">
        <v>0</v>
      </c>
      <c r="H274" s="11">
        <v>0.45036794227206151</v>
      </c>
      <c r="I274" s="11">
        <v>6.3170939991916364E-2</v>
      </c>
      <c r="J274" s="11">
        <v>0.91605902538235162</v>
      </c>
      <c r="K274" s="11">
        <v>59.818804156881647</v>
      </c>
      <c r="L274" s="11">
        <v>44.251155441805381</v>
      </c>
      <c r="M274" s="11">
        <v>219.38476491375911</v>
      </c>
    </row>
    <row r="275" spans="1:13" x14ac:dyDescent="0.25">
      <c r="A275" s="6">
        <v>49</v>
      </c>
      <c r="B275" s="6" t="s">
        <v>273</v>
      </c>
      <c r="C275" s="6" t="s">
        <v>300</v>
      </c>
      <c r="D275" s="6" t="s">
        <v>28</v>
      </c>
      <c r="E275" s="6" t="s">
        <v>33</v>
      </c>
      <c r="F275" s="6" t="s">
        <v>33</v>
      </c>
      <c r="G275" s="10">
        <v>0</v>
      </c>
      <c r="H275" s="10">
        <v>0.24021946013287521</v>
      </c>
      <c r="I275" s="10">
        <v>0.21586370090681031</v>
      </c>
      <c r="J275" s="10">
        <v>0.59248667710547542</v>
      </c>
      <c r="K275" s="10">
        <v>70.784207486832642</v>
      </c>
      <c r="L275" s="10">
        <v>57.217170971545229</v>
      </c>
      <c r="M275" s="10">
        <v>194.703693789026</v>
      </c>
    </row>
    <row r="276" spans="1:13" x14ac:dyDescent="0.25">
      <c r="A276" s="8">
        <v>49</v>
      </c>
      <c r="B276" s="8" t="s">
        <v>273</v>
      </c>
      <c r="C276" s="8" t="s">
        <v>301</v>
      </c>
      <c r="D276" s="8" t="s">
        <v>28</v>
      </c>
      <c r="E276" s="8" t="s">
        <v>33</v>
      </c>
      <c r="F276" s="8" t="s">
        <v>33</v>
      </c>
      <c r="G276" s="11">
        <v>0</v>
      </c>
      <c r="H276" s="11">
        <v>0.4185697978984132</v>
      </c>
      <c r="I276" s="11">
        <v>0.428265735708522</v>
      </c>
      <c r="J276" s="11">
        <v>0.46660244135921242</v>
      </c>
      <c r="K276" s="11">
        <v>35.974181316756393</v>
      </c>
      <c r="L276" s="11">
        <v>28.82664857731616</v>
      </c>
      <c r="M276" s="11">
        <v>258.01087185827743</v>
      </c>
    </row>
    <row r="277" spans="1:13" x14ac:dyDescent="0.25">
      <c r="A277" s="6">
        <v>50</v>
      </c>
      <c r="B277" s="6" t="s">
        <v>277</v>
      </c>
      <c r="C277" s="6" t="s">
        <v>300</v>
      </c>
      <c r="D277" s="6" t="s">
        <v>28</v>
      </c>
      <c r="E277" s="6" t="s">
        <v>33</v>
      </c>
      <c r="F277" s="6" t="s">
        <v>33</v>
      </c>
      <c r="G277" s="10">
        <v>8.8935996553685642E-2</v>
      </c>
      <c r="H277" s="10">
        <v>0.32793162569742029</v>
      </c>
      <c r="I277" s="10">
        <v>7.129119195051567E-2</v>
      </c>
      <c r="J277" s="10">
        <v>0.58798551523868015</v>
      </c>
      <c r="K277" s="10">
        <v>64.436710906579819</v>
      </c>
      <c r="L277" s="10">
        <v>54.476327256366737</v>
      </c>
      <c r="M277" s="10">
        <v>206.47677975070661</v>
      </c>
    </row>
    <row r="278" spans="1:13" x14ac:dyDescent="0.25">
      <c r="A278" s="8">
        <v>50</v>
      </c>
      <c r="B278" s="8" t="s">
        <v>277</v>
      </c>
      <c r="C278" s="8" t="s">
        <v>301</v>
      </c>
      <c r="D278" s="8" t="s">
        <v>28</v>
      </c>
      <c r="E278" s="8" t="s">
        <v>33</v>
      </c>
      <c r="F278" s="8" t="s">
        <v>33</v>
      </c>
      <c r="G278" s="11">
        <v>0</v>
      </c>
      <c r="H278" s="11">
        <v>0.45036794227206151</v>
      </c>
      <c r="I278" s="11">
        <v>6.3170939991916364E-2</v>
      </c>
      <c r="J278" s="11">
        <v>0.93014040423638877</v>
      </c>
      <c r="K278" s="11">
        <v>59.921886497585753</v>
      </c>
      <c r="L278" s="11">
        <v>44.514803191227927</v>
      </c>
      <c r="M278" s="11">
        <v>220.25377341913091</v>
      </c>
    </row>
    <row r="279" spans="1:13" x14ac:dyDescent="0.25">
      <c r="A279" s="6">
        <v>51</v>
      </c>
      <c r="B279" s="6" t="s">
        <v>281</v>
      </c>
      <c r="C279" s="6" t="s">
        <v>300</v>
      </c>
      <c r="D279" s="6" t="s">
        <v>28</v>
      </c>
      <c r="E279" s="6" t="s">
        <v>29</v>
      </c>
      <c r="F279" s="6" t="s">
        <v>96</v>
      </c>
      <c r="G279" s="10">
        <v>0</v>
      </c>
      <c r="H279" s="10">
        <v>0.59332623218911007</v>
      </c>
      <c r="I279" s="10">
        <v>0.60827748536033199</v>
      </c>
      <c r="J279" s="10">
        <v>0.30723605634976031</v>
      </c>
      <c r="K279" s="10">
        <v>47.848227987467823</v>
      </c>
      <c r="L279" s="10">
        <v>34.798057659764133</v>
      </c>
      <c r="M279" s="10">
        <v>69.521351283950381</v>
      </c>
    </row>
    <row r="280" spans="1:13" x14ac:dyDescent="0.25">
      <c r="A280" s="8">
        <v>51</v>
      </c>
      <c r="B280" s="8" t="s">
        <v>281</v>
      </c>
      <c r="C280" s="8" t="s">
        <v>301</v>
      </c>
      <c r="D280" s="8" t="s">
        <v>28</v>
      </c>
      <c r="E280" s="8" t="s">
        <v>29</v>
      </c>
      <c r="F280" s="8" t="s">
        <v>96</v>
      </c>
      <c r="G280" s="11">
        <v>0</v>
      </c>
      <c r="H280" s="11">
        <v>0.65269298090049266</v>
      </c>
      <c r="I280" s="11">
        <v>1.4671353884529701</v>
      </c>
      <c r="J280" s="11">
        <v>1.325529204266642</v>
      </c>
      <c r="K280" s="11">
        <v>32.194796924640961</v>
      </c>
      <c r="L280" s="11">
        <v>24.26414905968165</v>
      </c>
      <c r="M280" s="11">
        <v>93.626436720487092</v>
      </c>
    </row>
    <row r="281" spans="1:13" x14ac:dyDescent="0.25">
      <c r="A281" s="6">
        <v>52</v>
      </c>
      <c r="B281" s="6" t="s">
        <v>283</v>
      </c>
      <c r="C281" s="6" t="s">
        <v>300</v>
      </c>
      <c r="D281" s="6" t="s">
        <v>28</v>
      </c>
      <c r="E281" s="6" t="s">
        <v>29</v>
      </c>
      <c r="F281" s="6" t="s">
        <v>130</v>
      </c>
      <c r="G281" s="10">
        <v>0</v>
      </c>
      <c r="H281" s="10">
        <v>0.1862366457606098</v>
      </c>
      <c r="I281" s="10">
        <v>0.29756116596851101</v>
      </c>
      <c r="J281" s="10">
        <v>1.4208131798353429</v>
      </c>
      <c r="K281" s="10">
        <v>52.756028546138587</v>
      </c>
      <c r="L281" s="10">
        <v>37.953041680685587</v>
      </c>
      <c r="M281" s="10">
        <v>58.946475557855408</v>
      </c>
    </row>
    <row r="282" spans="1:13" x14ac:dyDescent="0.25">
      <c r="A282" s="8">
        <v>52</v>
      </c>
      <c r="B282" s="8" t="s">
        <v>283</v>
      </c>
      <c r="C282" s="8" t="s">
        <v>301</v>
      </c>
      <c r="D282" s="8" t="s">
        <v>28</v>
      </c>
      <c r="E282" s="8" t="s">
        <v>29</v>
      </c>
      <c r="F282" s="8" t="s">
        <v>130</v>
      </c>
      <c r="G282" s="11">
        <v>0</v>
      </c>
      <c r="H282" s="11">
        <v>0.36612590067079281</v>
      </c>
      <c r="I282" s="11">
        <v>0.5256426997626461</v>
      </c>
      <c r="J282" s="11">
        <v>1.2052897532145439</v>
      </c>
      <c r="K282" s="11">
        <v>29.795163922103889</v>
      </c>
      <c r="L282" s="11">
        <v>24.547360757977579</v>
      </c>
      <c r="M282" s="11">
        <v>95.669722271772159</v>
      </c>
    </row>
    <row r="283" spans="1:13" x14ac:dyDescent="0.25">
      <c r="A283" s="6">
        <v>53</v>
      </c>
      <c r="B283" s="6" t="s">
        <v>287</v>
      </c>
      <c r="C283" s="6" t="s">
        <v>300</v>
      </c>
      <c r="D283" s="6" t="s">
        <v>28</v>
      </c>
      <c r="E283" s="6" t="s">
        <v>31</v>
      </c>
      <c r="F283" s="6" t="s">
        <v>31</v>
      </c>
      <c r="G283" s="10">
        <v>5.2222732101069563E-2</v>
      </c>
      <c r="H283" s="10">
        <v>0.12701409600270411</v>
      </c>
      <c r="I283" s="10">
        <v>3.1548608690509579E-2</v>
      </c>
      <c r="J283" s="10">
        <v>0.16750319091501231</v>
      </c>
      <c r="K283" s="10">
        <v>59.942098202755432</v>
      </c>
      <c r="L283" s="10">
        <v>53.823119668093447</v>
      </c>
      <c r="M283" s="10">
        <v>211.265551707941</v>
      </c>
    </row>
    <row r="284" spans="1:13" x14ac:dyDescent="0.25">
      <c r="A284" s="8">
        <v>53</v>
      </c>
      <c r="B284" s="8" t="s">
        <v>287</v>
      </c>
      <c r="C284" s="8" t="s">
        <v>301</v>
      </c>
      <c r="D284" s="8" t="s">
        <v>28</v>
      </c>
      <c r="E284" s="8" t="s">
        <v>31</v>
      </c>
      <c r="F284" s="8" t="s">
        <v>31</v>
      </c>
      <c r="G284" s="11">
        <v>0</v>
      </c>
      <c r="H284" s="11">
        <v>2.1664931883547331E-3</v>
      </c>
      <c r="I284" s="11">
        <v>4.085835435001741E-2</v>
      </c>
      <c r="J284" s="11">
        <v>0.36129624957342932</v>
      </c>
      <c r="K284" s="11">
        <v>42.408761093682124</v>
      </c>
      <c r="L284" s="11">
        <v>30.728695534576911</v>
      </c>
      <c r="M284" s="11">
        <v>251.55385390647561</v>
      </c>
    </row>
    <row r="285" spans="1:13" x14ac:dyDescent="0.25">
      <c r="A285" s="6">
        <v>54</v>
      </c>
      <c r="B285" s="6" t="s">
        <v>289</v>
      </c>
      <c r="C285" s="6" t="s">
        <v>300</v>
      </c>
      <c r="D285" s="6" t="s">
        <v>28</v>
      </c>
      <c r="E285" s="6" t="s">
        <v>33</v>
      </c>
      <c r="F285" s="6" t="s">
        <v>33</v>
      </c>
      <c r="G285" s="10">
        <v>8.8935996553685642E-2</v>
      </c>
      <c r="H285" s="10">
        <v>0.32793162569742029</v>
      </c>
      <c r="I285" s="10">
        <v>0.10141816483241591</v>
      </c>
      <c r="J285" s="10">
        <v>0.57665162648251256</v>
      </c>
      <c r="K285" s="10">
        <v>63.630851515328487</v>
      </c>
      <c r="L285" s="10">
        <v>53.728638461221273</v>
      </c>
      <c r="M285" s="10">
        <v>206.0150800117203</v>
      </c>
    </row>
    <row r="286" spans="1:13" x14ac:dyDescent="0.25">
      <c r="A286" s="8">
        <v>54</v>
      </c>
      <c r="B286" s="8" t="s">
        <v>289</v>
      </c>
      <c r="C286" s="8" t="s">
        <v>301</v>
      </c>
      <c r="D286" s="8" t="s">
        <v>28</v>
      </c>
      <c r="E286" s="8" t="s">
        <v>33</v>
      </c>
      <c r="F286" s="8" t="s">
        <v>33</v>
      </c>
      <c r="G286" s="11">
        <v>0</v>
      </c>
      <c r="H286" s="11">
        <v>0.44236745429158209</v>
      </c>
      <c r="I286" s="11">
        <v>0.428265735708522</v>
      </c>
      <c r="J286" s="11">
        <v>0.51104472499002784</v>
      </c>
      <c r="K286" s="11">
        <v>36.406613940185977</v>
      </c>
      <c r="L286" s="11">
        <v>29.047822987177661</v>
      </c>
      <c r="M286" s="11">
        <v>258.19733356892652</v>
      </c>
    </row>
  </sheetData>
  <autoFilter ref="A178:M286"/>
  <mergeCells count="3">
    <mergeCell ref="A61:M61"/>
    <mergeCell ref="A1:R1"/>
    <mergeCell ref="A175:M17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3" customWidth="1"/>
    <col min="6" max="6" width="24" customWidth="1"/>
    <col min="7" max="7" width="22" customWidth="1"/>
    <col min="8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334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4</v>
      </c>
      <c r="B5" s="6" t="s">
        <v>95</v>
      </c>
      <c r="C5" s="6" t="s">
        <v>42</v>
      </c>
      <c r="D5" s="6" t="s">
        <v>28</v>
      </c>
      <c r="E5" s="6" t="s">
        <v>29</v>
      </c>
      <c r="F5" s="6" t="s">
        <v>96</v>
      </c>
      <c r="G5" s="6" t="s">
        <v>97</v>
      </c>
      <c r="H5" s="6" t="s">
        <v>97</v>
      </c>
      <c r="I5" s="10">
        <v>148.19876902377749</v>
      </c>
      <c r="J5" s="10">
        <v>148.1254196841063</v>
      </c>
      <c r="K5" s="10">
        <v>240.44363333333331</v>
      </c>
      <c r="L5" s="10">
        <v>274.35000000000002</v>
      </c>
      <c r="M5" s="6" t="s">
        <v>98</v>
      </c>
      <c r="N5" s="6" t="s">
        <v>99</v>
      </c>
      <c r="O5" s="6" t="s">
        <v>100</v>
      </c>
      <c r="P5" s="6" t="s">
        <v>101</v>
      </c>
      <c r="Q5" s="10">
        <v>42.808105641290943</v>
      </c>
      <c r="R5" s="10">
        <v>44.784536201483498</v>
      </c>
    </row>
    <row r="6" spans="1:18" x14ac:dyDescent="0.25">
      <c r="A6" s="8">
        <v>18</v>
      </c>
      <c r="B6" s="8" t="s">
        <v>162</v>
      </c>
      <c r="C6" s="8" t="s">
        <v>42</v>
      </c>
      <c r="D6" s="8" t="s">
        <v>28</v>
      </c>
      <c r="E6" s="8" t="s">
        <v>29</v>
      </c>
      <c r="F6" s="8" t="s">
        <v>96</v>
      </c>
      <c r="G6" s="8" t="s">
        <v>103</v>
      </c>
      <c r="H6" s="8" t="s">
        <v>103</v>
      </c>
      <c r="I6" s="11">
        <v>141.5990549680233</v>
      </c>
      <c r="J6" s="11">
        <v>141.66630570695861</v>
      </c>
      <c r="K6" s="11">
        <v>205.6434166666667</v>
      </c>
      <c r="L6" s="11">
        <v>221.15</v>
      </c>
      <c r="M6" s="8" t="s">
        <v>163</v>
      </c>
      <c r="N6" s="8" t="s">
        <v>164</v>
      </c>
      <c r="O6" s="8" t="s">
        <v>106</v>
      </c>
      <c r="P6" s="8" t="s">
        <v>107</v>
      </c>
      <c r="Q6" s="11">
        <v>51.089288821174947</v>
      </c>
      <c r="R6" s="11">
        <v>44.820093416341507</v>
      </c>
    </row>
    <row r="7" spans="1:18" x14ac:dyDescent="0.25">
      <c r="A7" s="6">
        <v>28</v>
      </c>
      <c r="B7" s="6" t="s">
        <v>188</v>
      </c>
      <c r="C7" s="6" t="s">
        <v>42</v>
      </c>
      <c r="D7" s="6" t="s">
        <v>28</v>
      </c>
      <c r="E7" s="6" t="s">
        <v>29</v>
      </c>
      <c r="F7" s="6" t="s">
        <v>96</v>
      </c>
      <c r="G7" s="6" t="s">
        <v>112</v>
      </c>
      <c r="H7" s="6" t="s">
        <v>112</v>
      </c>
      <c r="I7" s="10">
        <v>145.90644227428081</v>
      </c>
      <c r="J7" s="10">
        <v>145.99433069945931</v>
      </c>
      <c r="K7" s="10">
        <v>195.40219999999999</v>
      </c>
      <c r="L7" s="10">
        <v>266.86321666666669</v>
      </c>
      <c r="M7" s="6" t="s">
        <v>189</v>
      </c>
      <c r="N7" s="6" t="s">
        <v>190</v>
      </c>
      <c r="O7" s="6" t="s">
        <v>115</v>
      </c>
      <c r="P7" s="6" t="s">
        <v>191</v>
      </c>
      <c r="Q7" s="10">
        <v>48.032687059895139</v>
      </c>
      <c r="R7" s="10">
        <v>45.342764687473462</v>
      </c>
    </row>
    <row r="8" spans="1:18" x14ac:dyDescent="0.25">
      <c r="A8" s="8">
        <v>51</v>
      </c>
      <c r="B8" s="8" t="s">
        <v>281</v>
      </c>
      <c r="C8" s="8" t="s">
        <v>42</v>
      </c>
      <c r="D8" s="8" t="s">
        <v>28</v>
      </c>
      <c r="E8" s="8" t="s">
        <v>29</v>
      </c>
      <c r="F8" s="8" t="s">
        <v>96</v>
      </c>
      <c r="G8" s="8" t="s">
        <v>122</v>
      </c>
      <c r="H8" s="8" t="s">
        <v>122</v>
      </c>
      <c r="I8" s="11">
        <v>153.67647670508151</v>
      </c>
      <c r="J8" s="11">
        <v>153.53074027842979</v>
      </c>
      <c r="K8" s="11">
        <v>265.81493333333327</v>
      </c>
      <c r="L8" s="11">
        <v>285.56666666666672</v>
      </c>
      <c r="M8" s="8" t="s">
        <v>282</v>
      </c>
      <c r="N8" s="8" t="s">
        <v>175</v>
      </c>
      <c r="O8" s="8" t="s">
        <v>124</v>
      </c>
      <c r="P8" s="8" t="s">
        <v>125</v>
      </c>
      <c r="Q8" s="11">
        <v>45.911373665924373</v>
      </c>
      <c r="R8" s="11">
        <v>41.347135164429552</v>
      </c>
    </row>
    <row r="11" spans="1:18" ht="27.95" customHeight="1" x14ac:dyDescent="0.25">
      <c r="A11" s="55" t="s">
        <v>335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8" ht="3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4" spans="1:18" ht="30" x14ac:dyDescent="0.25">
      <c r="A14" s="9" t="s">
        <v>59</v>
      </c>
      <c r="B14" s="9" t="s">
        <v>60</v>
      </c>
      <c r="C14" s="9" t="s">
        <v>292</v>
      </c>
      <c r="D14" s="9" t="s">
        <v>24</v>
      </c>
      <c r="E14" s="9" t="s">
        <v>61</v>
      </c>
      <c r="F14" s="9" t="s">
        <v>62</v>
      </c>
      <c r="G14" s="9" t="s">
        <v>293</v>
      </c>
      <c r="H14" s="9" t="s">
        <v>294</v>
      </c>
      <c r="I14" s="9" t="s">
        <v>295</v>
      </c>
      <c r="J14" s="9" t="s">
        <v>296</v>
      </c>
      <c r="K14" s="9" t="s">
        <v>297</v>
      </c>
      <c r="L14" s="9" t="s">
        <v>298</v>
      </c>
      <c r="M14" s="9" t="s">
        <v>299</v>
      </c>
    </row>
    <row r="15" spans="1:18" x14ac:dyDescent="0.25">
      <c r="A15" s="6">
        <v>4</v>
      </c>
      <c r="B15" s="6" t="s">
        <v>95</v>
      </c>
      <c r="C15" s="6" t="s">
        <v>300</v>
      </c>
      <c r="D15" s="6" t="s">
        <v>28</v>
      </c>
      <c r="E15" s="6" t="s">
        <v>29</v>
      </c>
      <c r="F15" s="6" t="s">
        <v>96</v>
      </c>
      <c r="G15" s="10">
        <v>0</v>
      </c>
      <c r="H15" s="10">
        <v>25.883333333333329</v>
      </c>
      <c r="I15" s="10">
        <v>8.15</v>
      </c>
      <c r="J15" s="10">
        <v>8.0166666666666675</v>
      </c>
      <c r="K15" s="10">
        <v>55.883333333333333</v>
      </c>
      <c r="L15" s="10">
        <v>40.116666666666667</v>
      </c>
      <c r="M15" s="10">
        <v>102.3936333333333</v>
      </c>
    </row>
    <row r="16" spans="1:18" x14ac:dyDescent="0.25">
      <c r="A16" s="8">
        <v>4</v>
      </c>
      <c r="B16" s="8" t="s">
        <v>95</v>
      </c>
      <c r="C16" s="8" t="s">
        <v>301</v>
      </c>
      <c r="D16" s="8" t="s">
        <v>28</v>
      </c>
      <c r="E16" s="8" t="s">
        <v>29</v>
      </c>
      <c r="F16" s="8" t="s">
        <v>96</v>
      </c>
      <c r="G16" s="11">
        <v>0</v>
      </c>
      <c r="H16" s="11">
        <v>69.483333333333334</v>
      </c>
      <c r="I16" s="11">
        <v>9.9499999999999993</v>
      </c>
      <c r="J16" s="11">
        <v>1.716666666666667</v>
      </c>
      <c r="K16" s="11">
        <v>25.133333333333329</v>
      </c>
      <c r="L16" s="11">
        <v>23.43333333333333</v>
      </c>
      <c r="M16" s="11">
        <v>144.6333333333333</v>
      </c>
    </row>
    <row r="17" spans="1:13" x14ac:dyDescent="0.25">
      <c r="A17" s="6">
        <v>18</v>
      </c>
      <c r="B17" s="6" t="s">
        <v>162</v>
      </c>
      <c r="C17" s="6" t="s">
        <v>300</v>
      </c>
      <c r="D17" s="6" t="s">
        <v>28</v>
      </c>
      <c r="E17" s="6" t="s">
        <v>29</v>
      </c>
      <c r="F17" s="6" t="s">
        <v>96</v>
      </c>
      <c r="G17" s="10">
        <v>0</v>
      </c>
      <c r="H17" s="10">
        <v>30.18333333333333</v>
      </c>
      <c r="I17" s="10">
        <v>12.0548</v>
      </c>
      <c r="J17" s="10">
        <v>2.1</v>
      </c>
      <c r="K17" s="10">
        <v>43.833333333333343</v>
      </c>
      <c r="L17" s="10">
        <v>30.25</v>
      </c>
      <c r="M17" s="10">
        <v>87.221950000000007</v>
      </c>
    </row>
    <row r="18" spans="1:13" x14ac:dyDescent="0.25">
      <c r="A18" s="8">
        <v>18</v>
      </c>
      <c r="B18" s="8" t="s">
        <v>162</v>
      </c>
      <c r="C18" s="8" t="s">
        <v>301</v>
      </c>
      <c r="D18" s="8" t="s">
        <v>28</v>
      </c>
      <c r="E18" s="8" t="s">
        <v>29</v>
      </c>
      <c r="F18" s="8" t="s">
        <v>96</v>
      </c>
      <c r="G18" s="11">
        <v>0</v>
      </c>
      <c r="H18" s="11">
        <v>31.8</v>
      </c>
      <c r="I18" s="11">
        <v>0</v>
      </c>
      <c r="J18" s="11">
        <v>1.5</v>
      </c>
      <c r="K18" s="11">
        <v>30.466666666666669</v>
      </c>
      <c r="L18" s="11">
        <v>23</v>
      </c>
      <c r="M18" s="11">
        <v>134.3833333333333</v>
      </c>
    </row>
    <row r="19" spans="1:13" x14ac:dyDescent="0.25">
      <c r="A19" s="6">
        <v>28</v>
      </c>
      <c r="B19" s="6" t="s">
        <v>188</v>
      </c>
      <c r="C19" s="6" t="s">
        <v>300</v>
      </c>
      <c r="D19" s="6" t="s">
        <v>28</v>
      </c>
      <c r="E19" s="6" t="s">
        <v>29</v>
      </c>
      <c r="F19" s="6" t="s">
        <v>96</v>
      </c>
      <c r="G19" s="10">
        <v>0</v>
      </c>
      <c r="H19" s="10">
        <v>8.9333333333333336</v>
      </c>
      <c r="I19" s="10">
        <v>5.4188666666666672</v>
      </c>
      <c r="J19" s="10">
        <v>0</v>
      </c>
      <c r="K19" s="10">
        <v>46.883333333333333</v>
      </c>
      <c r="L19" s="10">
        <v>35.666666666666657</v>
      </c>
      <c r="M19" s="10">
        <v>98.5</v>
      </c>
    </row>
    <row r="20" spans="1:13" x14ac:dyDescent="0.25">
      <c r="A20" s="8">
        <v>28</v>
      </c>
      <c r="B20" s="8" t="s">
        <v>188</v>
      </c>
      <c r="C20" s="8" t="s">
        <v>301</v>
      </c>
      <c r="D20" s="8" t="s">
        <v>28</v>
      </c>
      <c r="E20" s="8" t="s">
        <v>29</v>
      </c>
      <c r="F20" s="8" t="s">
        <v>96</v>
      </c>
      <c r="G20" s="11">
        <v>0</v>
      </c>
      <c r="H20" s="11">
        <v>71.083333333333329</v>
      </c>
      <c r="I20" s="11">
        <v>4.05</v>
      </c>
      <c r="J20" s="11">
        <v>9.2465500000000009</v>
      </c>
      <c r="K20" s="11">
        <v>38.68333333333333</v>
      </c>
      <c r="L20" s="11">
        <v>26.81666666666667</v>
      </c>
      <c r="M20" s="11">
        <v>116.98333333333331</v>
      </c>
    </row>
    <row r="21" spans="1:13" x14ac:dyDescent="0.25">
      <c r="A21" s="6">
        <v>51</v>
      </c>
      <c r="B21" s="6" t="s">
        <v>281</v>
      </c>
      <c r="C21" s="6" t="s">
        <v>300</v>
      </c>
      <c r="D21" s="6" t="s">
        <v>28</v>
      </c>
      <c r="E21" s="6" t="s">
        <v>29</v>
      </c>
      <c r="F21" s="6" t="s">
        <v>96</v>
      </c>
      <c r="G21" s="10">
        <v>0</v>
      </c>
      <c r="H21" s="10">
        <v>35.56666666666667</v>
      </c>
      <c r="I21" s="10">
        <v>30.984083333333331</v>
      </c>
      <c r="J21" s="10">
        <v>3.3</v>
      </c>
      <c r="K21" s="10">
        <v>67.480850000000004</v>
      </c>
      <c r="L21" s="10">
        <v>48.56666666666667</v>
      </c>
      <c r="M21" s="10">
        <v>79.916666666666671</v>
      </c>
    </row>
    <row r="22" spans="1:13" x14ac:dyDescent="0.25">
      <c r="A22" s="8">
        <v>51</v>
      </c>
      <c r="B22" s="8" t="s">
        <v>281</v>
      </c>
      <c r="C22" s="8" t="s">
        <v>301</v>
      </c>
      <c r="D22" s="8" t="s">
        <v>28</v>
      </c>
      <c r="E22" s="8" t="s">
        <v>29</v>
      </c>
      <c r="F22" s="8" t="s">
        <v>96</v>
      </c>
      <c r="G22" s="11">
        <v>0</v>
      </c>
      <c r="H22" s="11">
        <v>48.18333333333333</v>
      </c>
      <c r="I22" s="11">
        <v>17.666666666666671</v>
      </c>
      <c r="J22" s="11">
        <v>10.233333333333331</v>
      </c>
      <c r="K22" s="11">
        <v>51.033333333333331</v>
      </c>
      <c r="L22" s="11">
        <v>37.133333333333333</v>
      </c>
      <c r="M22" s="11">
        <v>121.31666666666671</v>
      </c>
    </row>
    <row r="25" spans="1:13" ht="27.95" customHeight="1" x14ac:dyDescent="0.25">
      <c r="A25" s="55" t="s">
        <v>336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</row>
    <row r="26" spans="1:13" ht="3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8" spans="1:13" ht="30" x14ac:dyDescent="0.25">
      <c r="A28" s="9" t="s">
        <v>59</v>
      </c>
      <c r="B28" s="9" t="s">
        <v>60</v>
      </c>
      <c r="C28" s="9" t="s">
        <v>292</v>
      </c>
      <c r="D28" s="9" t="s">
        <v>24</v>
      </c>
      <c r="E28" s="9" t="s">
        <v>61</v>
      </c>
      <c r="F28" s="9" t="s">
        <v>62</v>
      </c>
      <c r="G28" s="9" t="s">
        <v>293</v>
      </c>
      <c r="H28" s="9" t="s">
        <v>294</v>
      </c>
      <c r="I28" s="9" t="s">
        <v>295</v>
      </c>
      <c r="J28" s="9" t="s">
        <v>296</v>
      </c>
      <c r="K28" s="9" t="s">
        <v>297</v>
      </c>
      <c r="L28" s="9" t="s">
        <v>298</v>
      </c>
      <c r="M28" s="9" t="s">
        <v>299</v>
      </c>
    </row>
    <row r="29" spans="1:13" x14ac:dyDescent="0.25">
      <c r="A29" s="6">
        <v>4</v>
      </c>
      <c r="B29" s="6" t="s">
        <v>95</v>
      </c>
      <c r="C29" s="6" t="s">
        <v>300</v>
      </c>
      <c r="D29" s="6" t="s">
        <v>28</v>
      </c>
      <c r="E29" s="6" t="s">
        <v>29</v>
      </c>
      <c r="F29" s="6" t="s">
        <v>96</v>
      </c>
      <c r="G29" s="10">
        <v>0</v>
      </c>
      <c r="H29" s="10">
        <v>0.35568686098748031</v>
      </c>
      <c r="I29" s="10">
        <v>0.57585003194744566</v>
      </c>
      <c r="J29" s="10">
        <v>0.62657519758941227</v>
      </c>
      <c r="K29" s="10">
        <v>44.777394576317398</v>
      </c>
      <c r="L29" s="10">
        <v>31.030770141318762</v>
      </c>
      <c r="M29" s="10">
        <v>70.832492215617009</v>
      </c>
    </row>
    <row r="30" spans="1:13" x14ac:dyDescent="0.25">
      <c r="A30" s="8">
        <v>4</v>
      </c>
      <c r="B30" s="8" t="s">
        <v>95</v>
      </c>
      <c r="C30" s="8" t="s">
        <v>301</v>
      </c>
      <c r="D30" s="8" t="s">
        <v>28</v>
      </c>
      <c r="E30" s="8" t="s">
        <v>29</v>
      </c>
      <c r="F30" s="8" t="s">
        <v>96</v>
      </c>
      <c r="G30" s="11">
        <v>0</v>
      </c>
      <c r="H30" s="11">
        <v>0.83987814360898194</v>
      </c>
      <c r="I30" s="11">
        <v>1.7979996304002079</v>
      </c>
      <c r="J30" s="11">
        <v>0.57590785271071809</v>
      </c>
      <c r="K30" s="11">
        <v>16.043682536598411</v>
      </c>
      <c r="L30" s="11">
        <v>16.779596658523619</v>
      </c>
      <c r="M30" s="11">
        <v>112.0883548622644</v>
      </c>
    </row>
    <row r="31" spans="1:13" x14ac:dyDescent="0.25">
      <c r="A31" s="6">
        <v>18</v>
      </c>
      <c r="B31" s="6" t="s">
        <v>162</v>
      </c>
      <c r="C31" s="6" t="s">
        <v>300</v>
      </c>
      <c r="D31" s="6" t="s">
        <v>28</v>
      </c>
      <c r="E31" s="6" t="s">
        <v>29</v>
      </c>
      <c r="F31" s="6" t="s">
        <v>96</v>
      </c>
      <c r="G31" s="10">
        <v>0</v>
      </c>
      <c r="H31" s="10">
        <v>0.38306581509713777</v>
      </c>
      <c r="I31" s="10">
        <v>2.078327234216284</v>
      </c>
      <c r="J31" s="10">
        <v>0.20461421027387261</v>
      </c>
      <c r="K31" s="10">
        <v>36.808470594235978</v>
      </c>
      <c r="L31" s="10">
        <v>24.895439135578741</v>
      </c>
      <c r="M31" s="10">
        <v>77.229137978621239</v>
      </c>
    </row>
    <row r="32" spans="1:13" x14ac:dyDescent="0.25">
      <c r="A32" s="8">
        <v>18</v>
      </c>
      <c r="B32" s="8" t="s">
        <v>162</v>
      </c>
      <c r="C32" s="8" t="s">
        <v>301</v>
      </c>
      <c r="D32" s="8" t="s">
        <v>28</v>
      </c>
      <c r="E32" s="8" t="s">
        <v>29</v>
      </c>
      <c r="F32" s="8" t="s">
        <v>96</v>
      </c>
      <c r="G32" s="11">
        <v>0</v>
      </c>
      <c r="H32" s="11">
        <v>0.22156090055420241</v>
      </c>
      <c r="I32" s="11">
        <v>0</v>
      </c>
      <c r="J32" s="11">
        <v>0.11647473715777031</v>
      </c>
      <c r="K32" s="11">
        <v>21.52025885865341</v>
      </c>
      <c r="L32" s="11">
        <v>17.069852156212249</v>
      </c>
      <c r="M32" s="11">
        <v>102.738159054381</v>
      </c>
    </row>
    <row r="33" spans="1:13" x14ac:dyDescent="0.25">
      <c r="A33" s="6">
        <v>28</v>
      </c>
      <c r="B33" s="6" t="s">
        <v>188</v>
      </c>
      <c r="C33" s="6" t="s">
        <v>300</v>
      </c>
      <c r="D33" s="6" t="s">
        <v>28</v>
      </c>
      <c r="E33" s="6" t="s">
        <v>29</v>
      </c>
      <c r="F33" s="6" t="s">
        <v>96</v>
      </c>
      <c r="G33" s="10">
        <v>0</v>
      </c>
      <c r="H33" s="10">
        <v>0.25917593164792052</v>
      </c>
      <c r="I33" s="10">
        <v>0.70863313939923567</v>
      </c>
      <c r="J33" s="10">
        <v>0</v>
      </c>
      <c r="K33" s="10">
        <v>37.603304668082593</v>
      </c>
      <c r="L33" s="10">
        <v>27.74280476419689</v>
      </c>
      <c r="M33" s="10">
        <v>79.592523770954102</v>
      </c>
    </row>
    <row r="34" spans="1:13" x14ac:dyDescent="0.25">
      <c r="A34" s="8">
        <v>28</v>
      </c>
      <c r="B34" s="8" t="s">
        <v>188</v>
      </c>
      <c r="C34" s="8" t="s">
        <v>301</v>
      </c>
      <c r="D34" s="8" t="s">
        <v>28</v>
      </c>
      <c r="E34" s="8" t="s">
        <v>29</v>
      </c>
      <c r="F34" s="8" t="s">
        <v>96</v>
      </c>
      <c r="G34" s="11">
        <v>0</v>
      </c>
      <c r="H34" s="11">
        <v>0.54905123843358739</v>
      </c>
      <c r="I34" s="11">
        <v>0.55256306869115623</v>
      </c>
      <c r="J34" s="11">
        <v>0.82406643556007364</v>
      </c>
      <c r="K34" s="11">
        <v>27.609909695058061</v>
      </c>
      <c r="L34" s="11">
        <v>19.892928271907479</v>
      </c>
      <c r="M34" s="11">
        <v>96.565811989808935</v>
      </c>
    </row>
    <row r="35" spans="1:13" x14ac:dyDescent="0.25">
      <c r="A35" s="6">
        <v>51</v>
      </c>
      <c r="B35" s="6" t="s">
        <v>281</v>
      </c>
      <c r="C35" s="6" t="s">
        <v>300</v>
      </c>
      <c r="D35" s="6" t="s">
        <v>28</v>
      </c>
      <c r="E35" s="6" t="s">
        <v>29</v>
      </c>
      <c r="F35" s="6" t="s">
        <v>96</v>
      </c>
      <c r="G35" s="10">
        <v>0</v>
      </c>
      <c r="H35" s="10">
        <v>0.59332623218911007</v>
      </c>
      <c r="I35" s="10">
        <v>0.60827748536033199</v>
      </c>
      <c r="J35" s="10">
        <v>0.30723605634976031</v>
      </c>
      <c r="K35" s="10">
        <v>47.848227987467823</v>
      </c>
      <c r="L35" s="10">
        <v>34.798057659764133</v>
      </c>
      <c r="M35" s="10">
        <v>69.521351283950381</v>
      </c>
    </row>
    <row r="36" spans="1:13" x14ac:dyDescent="0.25">
      <c r="A36" s="8">
        <v>51</v>
      </c>
      <c r="B36" s="8" t="s">
        <v>281</v>
      </c>
      <c r="C36" s="8" t="s">
        <v>301</v>
      </c>
      <c r="D36" s="8" t="s">
        <v>28</v>
      </c>
      <c r="E36" s="8" t="s">
        <v>29</v>
      </c>
      <c r="F36" s="8" t="s">
        <v>96</v>
      </c>
      <c r="G36" s="11">
        <v>0</v>
      </c>
      <c r="H36" s="11">
        <v>0.65269298090049266</v>
      </c>
      <c r="I36" s="11">
        <v>1.4671353884529701</v>
      </c>
      <c r="J36" s="11">
        <v>1.325529204266642</v>
      </c>
      <c r="K36" s="11">
        <v>32.194796924640961</v>
      </c>
      <c r="L36" s="11">
        <v>24.26414905968165</v>
      </c>
      <c r="M36" s="11">
        <v>93.626436720487092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3" customWidth="1"/>
    <col min="6" max="6" width="24" customWidth="1"/>
    <col min="7" max="7" width="22" customWidth="1"/>
    <col min="8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337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5</v>
      </c>
      <c r="B5" s="6" t="s">
        <v>102</v>
      </c>
      <c r="C5" s="6" t="s">
        <v>44</v>
      </c>
      <c r="D5" s="6" t="s">
        <v>28</v>
      </c>
      <c r="E5" s="6" t="s">
        <v>29</v>
      </c>
      <c r="F5" s="6" t="s">
        <v>96</v>
      </c>
      <c r="G5" s="6" t="s">
        <v>97</v>
      </c>
      <c r="H5" s="6" t="s">
        <v>103</v>
      </c>
      <c r="I5" s="10">
        <v>141.62200313375999</v>
      </c>
      <c r="J5" s="10">
        <v>141.6711046862772</v>
      </c>
      <c r="K5" s="10">
        <v>209.59191666666669</v>
      </c>
      <c r="L5" s="10">
        <v>221.15</v>
      </c>
      <c r="M5" s="6" t="s">
        <v>104</v>
      </c>
      <c r="N5" s="6" t="s">
        <v>105</v>
      </c>
      <c r="O5" s="6" t="s">
        <v>106</v>
      </c>
      <c r="P5" s="6" t="s">
        <v>107</v>
      </c>
      <c r="Q5" s="10">
        <v>47.253841991330667</v>
      </c>
      <c r="R5" s="10">
        <v>44.821614085784937</v>
      </c>
    </row>
    <row r="6" spans="1:18" x14ac:dyDescent="0.25">
      <c r="A6" s="8">
        <v>6</v>
      </c>
      <c r="B6" s="8" t="s">
        <v>108</v>
      </c>
      <c r="C6" s="8" t="s">
        <v>44</v>
      </c>
      <c r="D6" s="8" t="s">
        <v>28</v>
      </c>
      <c r="E6" s="8" t="s">
        <v>29</v>
      </c>
      <c r="F6" s="8" t="s">
        <v>96</v>
      </c>
      <c r="G6" s="8" t="s">
        <v>103</v>
      </c>
      <c r="H6" s="8" t="s">
        <v>97</v>
      </c>
      <c r="I6" s="11">
        <v>148.20841194532801</v>
      </c>
      <c r="J6" s="11">
        <v>148.15021957391201</v>
      </c>
      <c r="K6" s="11">
        <v>221.51708333333329</v>
      </c>
      <c r="L6" s="11">
        <v>274.35000000000002</v>
      </c>
      <c r="M6" s="8" t="s">
        <v>109</v>
      </c>
      <c r="N6" s="8" t="s">
        <v>110</v>
      </c>
      <c r="O6" s="8" t="s">
        <v>100</v>
      </c>
      <c r="P6" s="8" t="s">
        <v>101</v>
      </c>
      <c r="Q6" s="11">
        <v>49.306618200865557</v>
      </c>
      <c r="R6" s="11">
        <v>44.79217019920052</v>
      </c>
    </row>
    <row r="7" spans="1:18" x14ac:dyDescent="0.25">
      <c r="A7" s="6">
        <v>7</v>
      </c>
      <c r="B7" s="6" t="s">
        <v>111</v>
      </c>
      <c r="C7" s="6" t="s">
        <v>44</v>
      </c>
      <c r="D7" s="6" t="s">
        <v>28</v>
      </c>
      <c r="E7" s="6" t="s">
        <v>29</v>
      </c>
      <c r="F7" s="6" t="s">
        <v>96</v>
      </c>
      <c r="G7" s="6" t="s">
        <v>97</v>
      </c>
      <c r="H7" s="6" t="s">
        <v>112</v>
      </c>
      <c r="I7" s="10">
        <v>146.1103622297162</v>
      </c>
      <c r="J7" s="10">
        <v>146.19417039093929</v>
      </c>
      <c r="K7" s="10">
        <v>232.89156666666659</v>
      </c>
      <c r="L7" s="10">
        <v>269.21666666666658</v>
      </c>
      <c r="M7" s="6" t="s">
        <v>113</v>
      </c>
      <c r="N7" s="6" t="s">
        <v>114</v>
      </c>
      <c r="O7" s="6" t="s">
        <v>115</v>
      </c>
      <c r="P7" s="6" t="s">
        <v>116</v>
      </c>
      <c r="Q7" s="10">
        <v>44.761538696895471</v>
      </c>
      <c r="R7" s="10">
        <v>44.849027767870119</v>
      </c>
    </row>
    <row r="8" spans="1:18" x14ac:dyDescent="0.25">
      <c r="A8" s="8">
        <v>8</v>
      </c>
      <c r="B8" s="8" t="s">
        <v>117</v>
      </c>
      <c r="C8" s="8" t="s">
        <v>44</v>
      </c>
      <c r="D8" s="8" t="s">
        <v>28</v>
      </c>
      <c r="E8" s="8" t="s">
        <v>29</v>
      </c>
      <c r="F8" s="8" t="s">
        <v>96</v>
      </c>
      <c r="G8" s="8" t="s">
        <v>112</v>
      </c>
      <c r="H8" s="8" t="s">
        <v>97</v>
      </c>
      <c r="I8" s="11">
        <v>147.80638088976619</v>
      </c>
      <c r="J8" s="11">
        <v>147.73470822438651</v>
      </c>
      <c r="K8" s="11">
        <v>199.78013333333331</v>
      </c>
      <c r="L8" s="11">
        <v>272.70876666666669</v>
      </c>
      <c r="M8" s="8" t="s">
        <v>118</v>
      </c>
      <c r="N8" s="8" t="s">
        <v>119</v>
      </c>
      <c r="O8" s="8" t="s">
        <v>120</v>
      </c>
      <c r="P8" s="8" t="s">
        <v>101</v>
      </c>
      <c r="Q8" s="11">
        <v>48.109431090638452</v>
      </c>
      <c r="R8" s="11">
        <v>45.043540593222318</v>
      </c>
    </row>
    <row r="9" spans="1:18" x14ac:dyDescent="0.25">
      <c r="A9" s="6">
        <v>9</v>
      </c>
      <c r="B9" s="6" t="s">
        <v>121</v>
      </c>
      <c r="C9" s="6" t="s">
        <v>44</v>
      </c>
      <c r="D9" s="6" t="s">
        <v>28</v>
      </c>
      <c r="E9" s="6" t="s">
        <v>29</v>
      </c>
      <c r="F9" s="6" t="s">
        <v>96</v>
      </c>
      <c r="G9" s="6" t="s">
        <v>97</v>
      </c>
      <c r="H9" s="6" t="s">
        <v>122</v>
      </c>
      <c r="I9" s="10">
        <v>153.53484415159559</v>
      </c>
      <c r="J9" s="10">
        <v>153.5526617847118</v>
      </c>
      <c r="K9" s="10">
        <v>299.50470000000001</v>
      </c>
      <c r="L9" s="10">
        <v>285.56666666666672</v>
      </c>
      <c r="M9" s="6" t="s">
        <v>123</v>
      </c>
      <c r="N9" s="6" t="s">
        <v>105</v>
      </c>
      <c r="O9" s="6" t="s">
        <v>124</v>
      </c>
      <c r="P9" s="6" t="s">
        <v>125</v>
      </c>
      <c r="Q9" s="10">
        <v>41.136903244122031</v>
      </c>
      <c r="R9" s="10">
        <v>41.353121466683596</v>
      </c>
    </row>
    <row r="10" spans="1:18" x14ac:dyDescent="0.25">
      <c r="A10" s="8">
        <v>10</v>
      </c>
      <c r="B10" s="8" t="s">
        <v>126</v>
      </c>
      <c r="C10" s="8" t="s">
        <v>44</v>
      </c>
      <c r="D10" s="8" t="s">
        <v>28</v>
      </c>
      <c r="E10" s="8" t="s">
        <v>29</v>
      </c>
      <c r="F10" s="8" t="s">
        <v>96</v>
      </c>
      <c r="G10" s="8" t="s">
        <v>122</v>
      </c>
      <c r="H10" s="8" t="s">
        <v>97</v>
      </c>
      <c r="I10" s="11">
        <v>148.4081122812309</v>
      </c>
      <c r="J10" s="11">
        <v>148.16934205197421</v>
      </c>
      <c r="K10" s="11">
        <v>247.26765</v>
      </c>
      <c r="L10" s="11">
        <v>274.35000000000002</v>
      </c>
      <c r="M10" s="8" t="s">
        <v>127</v>
      </c>
      <c r="N10" s="8" t="s">
        <v>128</v>
      </c>
      <c r="O10" s="8" t="s">
        <v>100</v>
      </c>
      <c r="P10" s="8" t="s">
        <v>101</v>
      </c>
      <c r="Q10" s="11">
        <v>47.637753211593449</v>
      </c>
      <c r="R10" s="11">
        <v>44.798056554140558</v>
      </c>
    </row>
    <row r="11" spans="1:18" x14ac:dyDescent="0.25">
      <c r="A11" s="6">
        <v>19</v>
      </c>
      <c r="B11" s="6" t="s">
        <v>165</v>
      </c>
      <c r="C11" s="6" t="s">
        <v>44</v>
      </c>
      <c r="D11" s="6" t="s">
        <v>28</v>
      </c>
      <c r="E11" s="6" t="s">
        <v>29</v>
      </c>
      <c r="F11" s="6" t="s">
        <v>96</v>
      </c>
      <c r="G11" s="6" t="s">
        <v>103</v>
      </c>
      <c r="H11" s="6" t="s">
        <v>112</v>
      </c>
      <c r="I11" s="10">
        <v>146.11778022672581</v>
      </c>
      <c r="J11" s="10">
        <v>146.22654761738161</v>
      </c>
      <c r="K11" s="10">
        <v>219.93658333333329</v>
      </c>
      <c r="L11" s="10">
        <v>269.21666666666658</v>
      </c>
      <c r="M11" s="6" t="s">
        <v>166</v>
      </c>
      <c r="N11" s="6" t="s">
        <v>167</v>
      </c>
      <c r="O11" s="6" t="s">
        <v>115</v>
      </c>
      <c r="P11" s="6" t="s">
        <v>116</v>
      </c>
      <c r="Q11" s="10">
        <v>48.977517926050687</v>
      </c>
      <c r="R11" s="10">
        <v>44.857641693697801</v>
      </c>
    </row>
    <row r="12" spans="1:18" x14ac:dyDescent="0.25">
      <c r="A12" s="8">
        <v>20</v>
      </c>
      <c r="B12" s="8" t="s">
        <v>168</v>
      </c>
      <c r="C12" s="8" t="s">
        <v>44</v>
      </c>
      <c r="D12" s="8" t="s">
        <v>28</v>
      </c>
      <c r="E12" s="8" t="s">
        <v>29</v>
      </c>
      <c r="F12" s="8" t="s">
        <v>96</v>
      </c>
      <c r="G12" s="8" t="s">
        <v>112</v>
      </c>
      <c r="H12" s="8" t="s">
        <v>103</v>
      </c>
      <c r="I12" s="11">
        <v>141.7178099447946</v>
      </c>
      <c r="J12" s="11">
        <v>141.71372942643819</v>
      </c>
      <c r="K12" s="11">
        <v>186.11555000000001</v>
      </c>
      <c r="L12" s="11">
        <v>221.15</v>
      </c>
      <c r="M12" s="8" t="s">
        <v>169</v>
      </c>
      <c r="N12" s="8" t="s">
        <v>170</v>
      </c>
      <c r="O12" s="8" t="s">
        <v>106</v>
      </c>
      <c r="P12" s="8" t="s">
        <v>107</v>
      </c>
      <c r="Q12" s="11">
        <v>48.979847646940023</v>
      </c>
      <c r="R12" s="11">
        <v>44.835120737011053</v>
      </c>
    </row>
    <row r="13" spans="1:18" x14ac:dyDescent="0.25">
      <c r="A13" s="6">
        <v>21</v>
      </c>
      <c r="B13" s="6" t="s">
        <v>171</v>
      </c>
      <c r="C13" s="6" t="s">
        <v>44</v>
      </c>
      <c r="D13" s="6" t="s">
        <v>28</v>
      </c>
      <c r="E13" s="6" t="s">
        <v>29</v>
      </c>
      <c r="F13" s="6" t="s">
        <v>96</v>
      </c>
      <c r="G13" s="6" t="s">
        <v>103</v>
      </c>
      <c r="H13" s="6" t="s">
        <v>122</v>
      </c>
      <c r="I13" s="10">
        <v>153.5802936448807</v>
      </c>
      <c r="J13" s="10">
        <v>153.58803621196651</v>
      </c>
      <c r="K13" s="10">
        <v>235.73150000000001</v>
      </c>
      <c r="L13" s="10">
        <v>285.56666666666672</v>
      </c>
      <c r="M13" s="6" t="s">
        <v>172</v>
      </c>
      <c r="N13" s="6" t="s">
        <v>164</v>
      </c>
      <c r="O13" s="6" t="s">
        <v>124</v>
      </c>
      <c r="P13" s="6" t="s">
        <v>125</v>
      </c>
      <c r="Q13" s="10">
        <v>47.722150024085572</v>
      </c>
      <c r="R13" s="10">
        <v>41.362781478677611</v>
      </c>
    </row>
    <row r="14" spans="1:18" x14ac:dyDescent="0.25">
      <c r="A14" s="8">
        <v>22</v>
      </c>
      <c r="B14" s="8" t="s">
        <v>173</v>
      </c>
      <c r="C14" s="8" t="s">
        <v>44</v>
      </c>
      <c r="D14" s="8" t="s">
        <v>28</v>
      </c>
      <c r="E14" s="8" t="s">
        <v>29</v>
      </c>
      <c r="F14" s="8" t="s">
        <v>96</v>
      </c>
      <c r="G14" s="8" t="s">
        <v>122</v>
      </c>
      <c r="H14" s="8" t="s">
        <v>103</v>
      </c>
      <c r="I14" s="11">
        <v>141.83173688616381</v>
      </c>
      <c r="J14" s="11">
        <v>141.67339805160449</v>
      </c>
      <c r="K14" s="11">
        <v>221.1224333333333</v>
      </c>
      <c r="L14" s="11">
        <v>221.15</v>
      </c>
      <c r="M14" s="8" t="s">
        <v>174</v>
      </c>
      <c r="N14" s="8" t="s">
        <v>175</v>
      </c>
      <c r="O14" s="8" t="s">
        <v>106</v>
      </c>
      <c r="P14" s="8" t="s">
        <v>107</v>
      </c>
      <c r="Q14" s="11">
        <v>49.270305864703857</v>
      </c>
      <c r="R14" s="11">
        <v>44.822340792516592</v>
      </c>
    </row>
    <row r="15" spans="1:18" x14ac:dyDescent="0.25">
      <c r="A15" s="6">
        <v>29</v>
      </c>
      <c r="B15" s="6" t="s">
        <v>192</v>
      </c>
      <c r="C15" s="6" t="s">
        <v>44</v>
      </c>
      <c r="D15" s="6" t="s">
        <v>28</v>
      </c>
      <c r="E15" s="6" t="s">
        <v>29</v>
      </c>
      <c r="F15" s="6" t="s">
        <v>96</v>
      </c>
      <c r="G15" s="6" t="s">
        <v>112</v>
      </c>
      <c r="H15" s="6" t="s">
        <v>122</v>
      </c>
      <c r="I15" s="10">
        <v>148.61845633311091</v>
      </c>
      <c r="J15" s="10">
        <v>148.55222316255839</v>
      </c>
      <c r="K15" s="10">
        <v>202.45428333333331</v>
      </c>
      <c r="L15" s="10">
        <v>266.73758333333342</v>
      </c>
      <c r="M15" s="6" t="s">
        <v>118</v>
      </c>
      <c r="N15" s="6" t="s">
        <v>170</v>
      </c>
      <c r="O15" s="6" t="s">
        <v>193</v>
      </c>
      <c r="P15" s="6" t="s">
        <v>125</v>
      </c>
      <c r="Q15" s="10">
        <v>47.685896180996579</v>
      </c>
      <c r="R15" s="10">
        <v>42.944529784860279</v>
      </c>
    </row>
    <row r="16" spans="1:18" x14ac:dyDescent="0.25">
      <c r="A16" s="8">
        <v>30</v>
      </c>
      <c r="B16" s="8" t="s">
        <v>194</v>
      </c>
      <c r="C16" s="8" t="s">
        <v>44</v>
      </c>
      <c r="D16" s="8" t="s">
        <v>28</v>
      </c>
      <c r="E16" s="8" t="s">
        <v>29</v>
      </c>
      <c r="F16" s="8" t="s">
        <v>96</v>
      </c>
      <c r="G16" s="8" t="s">
        <v>122</v>
      </c>
      <c r="H16" s="8" t="s">
        <v>112</v>
      </c>
      <c r="I16" s="11">
        <v>145.9773325040056</v>
      </c>
      <c r="J16" s="11">
        <v>145.88933639903391</v>
      </c>
      <c r="K16" s="11">
        <v>255.74388333333329</v>
      </c>
      <c r="L16" s="11">
        <v>265.62998333333331</v>
      </c>
      <c r="M16" s="8" t="s">
        <v>195</v>
      </c>
      <c r="N16" s="8" t="s">
        <v>196</v>
      </c>
      <c r="O16" s="8" t="s">
        <v>115</v>
      </c>
      <c r="P16" s="8" t="s">
        <v>197</v>
      </c>
      <c r="Q16" s="11">
        <v>47.245229900420597</v>
      </c>
      <c r="R16" s="11">
        <v>45.594971634872877</v>
      </c>
    </row>
    <row r="19" spans="1:13" ht="27.95" customHeight="1" x14ac:dyDescent="0.25">
      <c r="A19" s="55" t="s">
        <v>338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3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2" spans="1:13" ht="30" x14ac:dyDescent="0.25">
      <c r="A22" s="9" t="s">
        <v>59</v>
      </c>
      <c r="B22" s="9" t="s">
        <v>60</v>
      </c>
      <c r="C22" s="9" t="s">
        <v>292</v>
      </c>
      <c r="D22" s="9" t="s">
        <v>24</v>
      </c>
      <c r="E22" s="9" t="s">
        <v>61</v>
      </c>
      <c r="F22" s="9" t="s">
        <v>62</v>
      </c>
      <c r="G22" s="9" t="s">
        <v>293</v>
      </c>
      <c r="H22" s="9" t="s">
        <v>294</v>
      </c>
      <c r="I22" s="9" t="s">
        <v>295</v>
      </c>
      <c r="J22" s="9" t="s">
        <v>296</v>
      </c>
      <c r="K22" s="9" t="s">
        <v>297</v>
      </c>
      <c r="L22" s="9" t="s">
        <v>298</v>
      </c>
      <c r="M22" s="9" t="s">
        <v>299</v>
      </c>
    </row>
    <row r="23" spans="1:13" x14ac:dyDescent="0.25">
      <c r="A23" s="6">
        <v>5</v>
      </c>
      <c r="B23" s="6" t="s">
        <v>102</v>
      </c>
      <c r="C23" s="6" t="s">
        <v>300</v>
      </c>
      <c r="D23" s="6" t="s">
        <v>28</v>
      </c>
      <c r="E23" s="6" t="s">
        <v>29</v>
      </c>
      <c r="F23" s="6" t="s">
        <v>96</v>
      </c>
      <c r="G23" s="10">
        <v>0</v>
      </c>
      <c r="H23" s="10">
        <v>25.883333333333329</v>
      </c>
      <c r="I23" s="10">
        <v>4.9333333333333336</v>
      </c>
      <c r="J23" s="10">
        <v>5.9333333333333336</v>
      </c>
      <c r="K23" s="10">
        <v>52.333333333333343</v>
      </c>
      <c r="L23" s="10">
        <v>37.574966666666668</v>
      </c>
      <c r="M23" s="10">
        <v>82.933616666666666</v>
      </c>
    </row>
    <row r="24" spans="1:13" x14ac:dyDescent="0.25">
      <c r="A24" s="8">
        <v>5</v>
      </c>
      <c r="B24" s="8" t="s">
        <v>102</v>
      </c>
      <c r="C24" s="8" t="s">
        <v>301</v>
      </c>
      <c r="D24" s="8" t="s">
        <v>28</v>
      </c>
      <c r="E24" s="8" t="s">
        <v>29</v>
      </c>
      <c r="F24" s="8" t="s">
        <v>96</v>
      </c>
      <c r="G24" s="11">
        <v>0</v>
      </c>
      <c r="H24" s="11">
        <v>31.8</v>
      </c>
      <c r="I24" s="11">
        <v>0</v>
      </c>
      <c r="J24" s="11">
        <v>1.5</v>
      </c>
      <c r="K24" s="11">
        <v>30.466666666666669</v>
      </c>
      <c r="L24" s="11">
        <v>23</v>
      </c>
      <c r="M24" s="11">
        <v>134.3833333333333</v>
      </c>
    </row>
    <row r="25" spans="1:13" x14ac:dyDescent="0.25">
      <c r="A25" s="6">
        <v>6</v>
      </c>
      <c r="B25" s="6" t="s">
        <v>108</v>
      </c>
      <c r="C25" s="6" t="s">
        <v>300</v>
      </c>
      <c r="D25" s="6" t="s">
        <v>28</v>
      </c>
      <c r="E25" s="6" t="s">
        <v>29</v>
      </c>
      <c r="F25" s="6" t="s">
        <v>96</v>
      </c>
      <c r="G25" s="10">
        <v>0</v>
      </c>
      <c r="H25" s="10">
        <v>30.18333333333333</v>
      </c>
      <c r="I25" s="10">
        <v>14.29151666666667</v>
      </c>
      <c r="J25" s="10">
        <v>2.1</v>
      </c>
      <c r="K25" s="10">
        <v>48.092233333333333</v>
      </c>
      <c r="L25" s="10">
        <v>33.450000000000003</v>
      </c>
      <c r="M25" s="10">
        <v>93.4</v>
      </c>
    </row>
    <row r="26" spans="1:13" x14ac:dyDescent="0.25">
      <c r="A26" s="8">
        <v>6</v>
      </c>
      <c r="B26" s="8" t="s">
        <v>108</v>
      </c>
      <c r="C26" s="8" t="s">
        <v>301</v>
      </c>
      <c r="D26" s="8" t="s">
        <v>28</v>
      </c>
      <c r="E26" s="8" t="s">
        <v>29</v>
      </c>
      <c r="F26" s="8" t="s">
        <v>96</v>
      </c>
      <c r="G26" s="11">
        <v>0</v>
      </c>
      <c r="H26" s="11">
        <v>69.483333333333334</v>
      </c>
      <c r="I26" s="11">
        <v>9.9499999999999993</v>
      </c>
      <c r="J26" s="11">
        <v>1.716666666666667</v>
      </c>
      <c r="K26" s="11">
        <v>25.133333333333329</v>
      </c>
      <c r="L26" s="11">
        <v>23.43333333333333</v>
      </c>
      <c r="M26" s="11">
        <v>144.6333333333333</v>
      </c>
    </row>
    <row r="27" spans="1:13" x14ac:dyDescent="0.25">
      <c r="A27" s="6">
        <v>7</v>
      </c>
      <c r="B27" s="6" t="s">
        <v>111</v>
      </c>
      <c r="C27" s="6" t="s">
        <v>300</v>
      </c>
      <c r="D27" s="6" t="s">
        <v>28</v>
      </c>
      <c r="E27" s="6" t="s">
        <v>29</v>
      </c>
      <c r="F27" s="6" t="s">
        <v>96</v>
      </c>
      <c r="G27" s="10">
        <v>0</v>
      </c>
      <c r="H27" s="10">
        <v>29.40441666666667</v>
      </c>
      <c r="I27" s="10">
        <v>9.2371500000000015</v>
      </c>
      <c r="J27" s="10">
        <v>8.0166666666666675</v>
      </c>
      <c r="K27" s="10">
        <v>55.05</v>
      </c>
      <c r="L27" s="10">
        <v>38.85</v>
      </c>
      <c r="M27" s="10">
        <v>92.333333333333329</v>
      </c>
    </row>
    <row r="28" spans="1:13" x14ac:dyDescent="0.25">
      <c r="A28" s="8">
        <v>7</v>
      </c>
      <c r="B28" s="8" t="s">
        <v>111</v>
      </c>
      <c r="C28" s="8" t="s">
        <v>301</v>
      </c>
      <c r="D28" s="8" t="s">
        <v>28</v>
      </c>
      <c r="E28" s="8" t="s">
        <v>29</v>
      </c>
      <c r="F28" s="8" t="s">
        <v>96</v>
      </c>
      <c r="G28" s="11">
        <v>0</v>
      </c>
      <c r="H28" s="11">
        <v>71.083333333333329</v>
      </c>
      <c r="I28" s="11">
        <v>4.05</v>
      </c>
      <c r="J28" s="11">
        <v>11.6</v>
      </c>
      <c r="K28" s="11">
        <v>38.68333333333333</v>
      </c>
      <c r="L28" s="11">
        <v>26.81666666666667</v>
      </c>
      <c r="M28" s="11">
        <v>116.98333333333331</v>
      </c>
    </row>
    <row r="29" spans="1:13" x14ac:dyDescent="0.25">
      <c r="A29" s="6">
        <v>8</v>
      </c>
      <c r="B29" s="6" t="s">
        <v>117</v>
      </c>
      <c r="C29" s="6" t="s">
        <v>300</v>
      </c>
      <c r="D29" s="6" t="s">
        <v>28</v>
      </c>
      <c r="E29" s="6" t="s">
        <v>29</v>
      </c>
      <c r="F29" s="6" t="s">
        <v>96</v>
      </c>
      <c r="G29" s="10">
        <v>0</v>
      </c>
      <c r="H29" s="10">
        <v>12.03333333333333</v>
      </c>
      <c r="I29" s="10">
        <v>4.75</v>
      </c>
      <c r="J29" s="10">
        <v>0</v>
      </c>
      <c r="K29" s="10">
        <v>46.9</v>
      </c>
      <c r="L29" s="10">
        <v>35.549999999999997</v>
      </c>
      <c r="M29" s="10">
        <v>100.5468</v>
      </c>
    </row>
    <row r="30" spans="1:13" x14ac:dyDescent="0.25">
      <c r="A30" s="8">
        <v>8</v>
      </c>
      <c r="B30" s="8" t="s">
        <v>117</v>
      </c>
      <c r="C30" s="8" t="s">
        <v>301</v>
      </c>
      <c r="D30" s="8" t="s">
        <v>28</v>
      </c>
      <c r="E30" s="8" t="s">
        <v>29</v>
      </c>
      <c r="F30" s="8" t="s">
        <v>96</v>
      </c>
      <c r="G30" s="11">
        <v>0</v>
      </c>
      <c r="H30" s="11">
        <v>69.483333333333334</v>
      </c>
      <c r="I30" s="11">
        <v>9.9499999999999993</v>
      </c>
      <c r="J30" s="11">
        <v>1.2666666666666671</v>
      </c>
      <c r="K30" s="11">
        <v>25.12543333333333</v>
      </c>
      <c r="L30" s="11">
        <v>23.43333333333333</v>
      </c>
      <c r="M30" s="11">
        <v>143.44999999999999</v>
      </c>
    </row>
    <row r="31" spans="1:13" x14ac:dyDescent="0.25">
      <c r="A31" s="6">
        <v>9</v>
      </c>
      <c r="B31" s="6" t="s">
        <v>121</v>
      </c>
      <c r="C31" s="6" t="s">
        <v>300</v>
      </c>
      <c r="D31" s="6" t="s">
        <v>28</v>
      </c>
      <c r="E31" s="6" t="s">
        <v>29</v>
      </c>
      <c r="F31" s="6" t="s">
        <v>96</v>
      </c>
      <c r="G31" s="10">
        <v>0</v>
      </c>
      <c r="H31" s="10">
        <v>68.95</v>
      </c>
      <c r="I31" s="10">
        <v>8.15</v>
      </c>
      <c r="J31" s="10">
        <v>8.0166666666666675</v>
      </c>
      <c r="K31" s="10">
        <v>58.3</v>
      </c>
      <c r="L31" s="10">
        <v>42.616666666666667</v>
      </c>
      <c r="M31" s="10">
        <v>113.4713666666667</v>
      </c>
    </row>
    <row r="32" spans="1:13" x14ac:dyDescent="0.25">
      <c r="A32" s="8">
        <v>9</v>
      </c>
      <c r="B32" s="8" t="s">
        <v>121</v>
      </c>
      <c r="C32" s="8" t="s">
        <v>301</v>
      </c>
      <c r="D32" s="8" t="s">
        <v>28</v>
      </c>
      <c r="E32" s="8" t="s">
        <v>29</v>
      </c>
      <c r="F32" s="8" t="s">
        <v>96</v>
      </c>
      <c r="G32" s="11">
        <v>0</v>
      </c>
      <c r="H32" s="11">
        <v>48.18333333333333</v>
      </c>
      <c r="I32" s="11">
        <v>17.666666666666671</v>
      </c>
      <c r="J32" s="11">
        <v>9.9</v>
      </c>
      <c r="K32" s="11">
        <v>51.033333333333331</v>
      </c>
      <c r="L32" s="11">
        <v>37.133333333333333</v>
      </c>
      <c r="M32" s="11">
        <v>121.65</v>
      </c>
    </row>
    <row r="33" spans="1:13" x14ac:dyDescent="0.25">
      <c r="A33" s="6">
        <v>10</v>
      </c>
      <c r="B33" s="6" t="s">
        <v>126</v>
      </c>
      <c r="C33" s="6" t="s">
        <v>300</v>
      </c>
      <c r="D33" s="6" t="s">
        <v>28</v>
      </c>
      <c r="E33" s="6" t="s">
        <v>29</v>
      </c>
      <c r="F33" s="6" t="s">
        <v>96</v>
      </c>
      <c r="G33" s="10">
        <v>0</v>
      </c>
      <c r="H33" s="10">
        <v>35.56666666666667</v>
      </c>
      <c r="I33" s="10">
        <v>26.165716666666661</v>
      </c>
      <c r="J33" s="10">
        <v>2.0499999999999998</v>
      </c>
      <c r="K33" s="10">
        <v>63.035266666666672</v>
      </c>
      <c r="L33" s="10">
        <v>45.45</v>
      </c>
      <c r="M33" s="10">
        <v>75</v>
      </c>
    </row>
    <row r="34" spans="1:13" x14ac:dyDescent="0.25">
      <c r="A34" s="8">
        <v>10</v>
      </c>
      <c r="B34" s="8" t="s">
        <v>126</v>
      </c>
      <c r="C34" s="8" t="s">
        <v>301</v>
      </c>
      <c r="D34" s="8" t="s">
        <v>28</v>
      </c>
      <c r="E34" s="8" t="s">
        <v>29</v>
      </c>
      <c r="F34" s="8" t="s">
        <v>96</v>
      </c>
      <c r="G34" s="11">
        <v>0</v>
      </c>
      <c r="H34" s="11">
        <v>69.483333333333334</v>
      </c>
      <c r="I34" s="11">
        <v>9.9499999999999993</v>
      </c>
      <c r="J34" s="11">
        <v>1.716666666666667</v>
      </c>
      <c r="K34" s="11">
        <v>25.133333333333329</v>
      </c>
      <c r="L34" s="11">
        <v>23.43333333333333</v>
      </c>
      <c r="M34" s="11">
        <v>144.6333333333333</v>
      </c>
    </row>
    <row r="35" spans="1:13" x14ac:dyDescent="0.25">
      <c r="A35" s="6">
        <v>19</v>
      </c>
      <c r="B35" s="6" t="s">
        <v>165</v>
      </c>
      <c r="C35" s="6" t="s">
        <v>300</v>
      </c>
      <c r="D35" s="6" t="s">
        <v>28</v>
      </c>
      <c r="E35" s="6" t="s">
        <v>29</v>
      </c>
      <c r="F35" s="6" t="s">
        <v>96</v>
      </c>
      <c r="G35" s="10">
        <v>0</v>
      </c>
      <c r="H35" s="10">
        <v>30.18333333333333</v>
      </c>
      <c r="I35" s="10">
        <v>13.90325</v>
      </c>
      <c r="J35" s="10">
        <v>4.2333333333333334</v>
      </c>
      <c r="K35" s="10">
        <v>46.35</v>
      </c>
      <c r="L35" s="10">
        <v>31.983333333333331</v>
      </c>
      <c r="M35" s="10">
        <v>93.283333333333331</v>
      </c>
    </row>
    <row r="36" spans="1:13" x14ac:dyDescent="0.25">
      <c r="A36" s="8">
        <v>19</v>
      </c>
      <c r="B36" s="8" t="s">
        <v>165</v>
      </c>
      <c r="C36" s="8" t="s">
        <v>301</v>
      </c>
      <c r="D36" s="8" t="s">
        <v>28</v>
      </c>
      <c r="E36" s="8" t="s">
        <v>29</v>
      </c>
      <c r="F36" s="8" t="s">
        <v>96</v>
      </c>
      <c r="G36" s="11">
        <v>0</v>
      </c>
      <c r="H36" s="11">
        <v>71.083333333333329</v>
      </c>
      <c r="I36" s="11">
        <v>4.05</v>
      </c>
      <c r="J36" s="11">
        <v>11.6</v>
      </c>
      <c r="K36" s="11">
        <v>38.68333333333333</v>
      </c>
      <c r="L36" s="11">
        <v>26.81666666666667</v>
      </c>
      <c r="M36" s="11">
        <v>116.98333333333331</v>
      </c>
    </row>
    <row r="37" spans="1:13" x14ac:dyDescent="0.25">
      <c r="A37" s="6">
        <v>20</v>
      </c>
      <c r="B37" s="6" t="s">
        <v>168</v>
      </c>
      <c r="C37" s="6" t="s">
        <v>300</v>
      </c>
      <c r="D37" s="6" t="s">
        <v>28</v>
      </c>
      <c r="E37" s="6" t="s">
        <v>29</v>
      </c>
      <c r="F37" s="6" t="s">
        <v>96</v>
      </c>
      <c r="G37" s="10">
        <v>0</v>
      </c>
      <c r="H37" s="10">
        <v>8.9333333333333336</v>
      </c>
      <c r="I37" s="10">
        <v>4.7779333333333334</v>
      </c>
      <c r="J37" s="10">
        <v>0</v>
      </c>
      <c r="K37" s="10">
        <v>45.070950000000003</v>
      </c>
      <c r="L37" s="10">
        <v>34.966666666666669</v>
      </c>
      <c r="M37" s="10">
        <v>92.36666666666666</v>
      </c>
    </row>
    <row r="38" spans="1:13" x14ac:dyDescent="0.25">
      <c r="A38" s="8">
        <v>20</v>
      </c>
      <c r="B38" s="8" t="s">
        <v>168</v>
      </c>
      <c r="C38" s="8" t="s">
        <v>301</v>
      </c>
      <c r="D38" s="8" t="s">
        <v>28</v>
      </c>
      <c r="E38" s="8" t="s">
        <v>29</v>
      </c>
      <c r="F38" s="8" t="s">
        <v>96</v>
      </c>
      <c r="G38" s="11">
        <v>0</v>
      </c>
      <c r="H38" s="11">
        <v>31.8</v>
      </c>
      <c r="I38" s="11">
        <v>0</v>
      </c>
      <c r="J38" s="11">
        <v>1.5</v>
      </c>
      <c r="K38" s="11">
        <v>30.466666666666669</v>
      </c>
      <c r="L38" s="11">
        <v>23</v>
      </c>
      <c r="M38" s="11">
        <v>134.3833333333333</v>
      </c>
    </row>
    <row r="39" spans="1:13" x14ac:dyDescent="0.25">
      <c r="A39" s="6">
        <v>21</v>
      </c>
      <c r="B39" s="6" t="s">
        <v>171</v>
      </c>
      <c r="C39" s="6" t="s">
        <v>300</v>
      </c>
      <c r="D39" s="6" t="s">
        <v>28</v>
      </c>
      <c r="E39" s="6" t="s">
        <v>29</v>
      </c>
      <c r="F39" s="6" t="s">
        <v>96</v>
      </c>
      <c r="G39" s="10">
        <v>0</v>
      </c>
      <c r="H39" s="10">
        <v>30.18333333333333</v>
      </c>
      <c r="I39" s="10">
        <v>15.93333333333333</v>
      </c>
      <c r="J39" s="10">
        <v>2.1</v>
      </c>
      <c r="K39" s="10">
        <v>50.65</v>
      </c>
      <c r="L39" s="10">
        <v>37.059549999999987</v>
      </c>
      <c r="M39" s="10">
        <v>99.805283333333335</v>
      </c>
    </row>
    <row r="40" spans="1:13" x14ac:dyDescent="0.25">
      <c r="A40" s="8">
        <v>21</v>
      </c>
      <c r="B40" s="8" t="s">
        <v>171</v>
      </c>
      <c r="C40" s="8" t="s">
        <v>301</v>
      </c>
      <c r="D40" s="8" t="s">
        <v>28</v>
      </c>
      <c r="E40" s="8" t="s">
        <v>29</v>
      </c>
      <c r="F40" s="8" t="s">
        <v>96</v>
      </c>
      <c r="G40" s="11">
        <v>0</v>
      </c>
      <c r="H40" s="11">
        <v>48.18333333333333</v>
      </c>
      <c r="I40" s="11">
        <v>17.666666666666671</v>
      </c>
      <c r="J40" s="11">
        <v>9.9</v>
      </c>
      <c r="K40" s="11">
        <v>51.033333333333331</v>
      </c>
      <c r="L40" s="11">
        <v>37.133333333333333</v>
      </c>
      <c r="M40" s="11">
        <v>121.65</v>
      </c>
    </row>
    <row r="41" spans="1:13" x14ac:dyDescent="0.25">
      <c r="A41" s="6">
        <v>22</v>
      </c>
      <c r="B41" s="6" t="s">
        <v>173</v>
      </c>
      <c r="C41" s="6" t="s">
        <v>300</v>
      </c>
      <c r="D41" s="6" t="s">
        <v>28</v>
      </c>
      <c r="E41" s="6" t="s">
        <v>29</v>
      </c>
      <c r="F41" s="6" t="s">
        <v>96</v>
      </c>
      <c r="G41" s="10">
        <v>0</v>
      </c>
      <c r="H41" s="10">
        <v>30.466666666666669</v>
      </c>
      <c r="I41" s="10">
        <v>18.984083333333331</v>
      </c>
      <c r="J41" s="10">
        <v>2.2999999999999998</v>
      </c>
      <c r="K41" s="10">
        <v>58.605016666666657</v>
      </c>
      <c r="L41" s="10">
        <v>41.15</v>
      </c>
      <c r="M41" s="10">
        <v>69.61666666666666</v>
      </c>
    </row>
    <row r="42" spans="1:13" x14ac:dyDescent="0.25">
      <c r="A42" s="8">
        <v>22</v>
      </c>
      <c r="B42" s="8" t="s">
        <v>173</v>
      </c>
      <c r="C42" s="8" t="s">
        <v>301</v>
      </c>
      <c r="D42" s="8" t="s">
        <v>28</v>
      </c>
      <c r="E42" s="8" t="s">
        <v>29</v>
      </c>
      <c r="F42" s="8" t="s">
        <v>96</v>
      </c>
      <c r="G42" s="11">
        <v>0</v>
      </c>
      <c r="H42" s="11">
        <v>31.8</v>
      </c>
      <c r="I42" s="11">
        <v>0</v>
      </c>
      <c r="J42" s="11">
        <v>1.5</v>
      </c>
      <c r="K42" s="11">
        <v>30.466666666666669</v>
      </c>
      <c r="L42" s="11">
        <v>23</v>
      </c>
      <c r="M42" s="11">
        <v>134.3833333333333</v>
      </c>
    </row>
    <row r="43" spans="1:13" x14ac:dyDescent="0.25">
      <c r="A43" s="6">
        <v>29</v>
      </c>
      <c r="B43" s="6" t="s">
        <v>192</v>
      </c>
      <c r="C43" s="6" t="s">
        <v>300</v>
      </c>
      <c r="D43" s="6" t="s">
        <v>28</v>
      </c>
      <c r="E43" s="6" t="s">
        <v>29</v>
      </c>
      <c r="F43" s="6" t="s">
        <v>96</v>
      </c>
      <c r="G43" s="10">
        <v>0</v>
      </c>
      <c r="H43" s="10">
        <v>12.03333333333333</v>
      </c>
      <c r="I43" s="10">
        <v>4.916666666666667</v>
      </c>
      <c r="J43" s="10">
        <v>0</v>
      </c>
      <c r="K43" s="10">
        <v>47.070950000000003</v>
      </c>
      <c r="L43" s="10">
        <v>35.883333333333333</v>
      </c>
      <c r="M43" s="10">
        <v>102.55</v>
      </c>
    </row>
    <row r="44" spans="1:13" x14ac:dyDescent="0.25">
      <c r="A44" s="8">
        <v>29</v>
      </c>
      <c r="B44" s="8" t="s">
        <v>192</v>
      </c>
      <c r="C44" s="8" t="s">
        <v>301</v>
      </c>
      <c r="D44" s="8" t="s">
        <v>28</v>
      </c>
      <c r="E44" s="8" t="s">
        <v>29</v>
      </c>
      <c r="F44" s="8" t="s">
        <v>96</v>
      </c>
      <c r="G44" s="11">
        <v>0</v>
      </c>
      <c r="H44" s="11">
        <v>48.18333333333333</v>
      </c>
      <c r="I44" s="11">
        <v>13.66666666666667</v>
      </c>
      <c r="J44" s="11">
        <v>8.5500000000000007</v>
      </c>
      <c r="K44" s="11">
        <v>47.504249999999999</v>
      </c>
      <c r="L44" s="11">
        <v>34.783333333333331</v>
      </c>
      <c r="M44" s="11">
        <v>114.05</v>
      </c>
    </row>
    <row r="45" spans="1:13" x14ac:dyDescent="0.25">
      <c r="A45" s="6">
        <v>30</v>
      </c>
      <c r="B45" s="6" t="s">
        <v>194</v>
      </c>
      <c r="C45" s="6" t="s">
        <v>300</v>
      </c>
      <c r="D45" s="6" t="s">
        <v>28</v>
      </c>
      <c r="E45" s="6" t="s">
        <v>29</v>
      </c>
      <c r="F45" s="6" t="s">
        <v>96</v>
      </c>
      <c r="G45" s="10">
        <v>0</v>
      </c>
      <c r="H45" s="10">
        <v>45.166666666666657</v>
      </c>
      <c r="I45" s="10">
        <v>26.670683333333329</v>
      </c>
      <c r="J45" s="10">
        <v>2.8833333333333329</v>
      </c>
      <c r="K45" s="10">
        <v>61.423199999999987</v>
      </c>
      <c r="L45" s="10">
        <v>44.016666666666673</v>
      </c>
      <c r="M45" s="10">
        <v>75.583333333333329</v>
      </c>
    </row>
    <row r="46" spans="1:13" x14ac:dyDescent="0.25">
      <c r="A46" s="8">
        <v>30</v>
      </c>
      <c r="B46" s="8" t="s">
        <v>194</v>
      </c>
      <c r="C46" s="8" t="s">
        <v>301</v>
      </c>
      <c r="D46" s="8" t="s">
        <v>28</v>
      </c>
      <c r="E46" s="8" t="s">
        <v>29</v>
      </c>
      <c r="F46" s="8" t="s">
        <v>96</v>
      </c>
      <c r="G46" s="11">
        <v>0</v>
      </c>
      <c r="H46" s="11">
        <v>71.083333333333329</v>
      </c>
      <c r="I46" s="11">
        <v>4.05</v>
      </c>
      <c r="J46" s="11">
        <v>7.6833333333333336</v>
      </c>
      <c r="K46" s="11">
        <v>38.68333333333333</v>
      </c>
      <c r="L46" s="11">
        <v>26.81666666666667</v>
      </c>
      <c r="M46" s="11">
        <v>117.31331666666669</v>
      </c>
    </row>
    <row r="49" spans="1:13" ht="27.95" customHeight="1" x14ac:dyDescent="0.25">
      <c r="A49" s="55" t="s">
        <v>339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</row>
    <row r="50" spans="1:13" ht="3.9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2" spans="1:13" ht="30" x14ac:dyDescent="0.25">
      <c r="A52" s="9" t="s">
        <v>59</v>
      </c>
      <c r="B52" s="9" t="s">
        <v>60</v>
      </c>
      <c r="C52" s="9" t="s">
        <v>292</v>
      </c>
      <c r="D52" s="9" t="s">
        <v>24</v>
      </c>
      <c r="E52" s="9" t="s">
        <v>61</v>
      </c>
      <c r="F52" s="9" t="s">
        <v>62</v>
      </c>
      <c r="G52" s="9" t="s">
        <v>293</v>
      </c>
      <c r="H52" s="9" t="s">
        <v>294</v>
      </c>
      <c r="I52" s="9" t="s">
        <v>295</v>
      </c>
      <c r="J52" s="9" t="s">
        <v>296</v>
      </c>
      <c r="K52" s="9" t="s">
        <v>297</v>
      </c>
      <c r="L52" s="9" t="s">
        <v>298</v>
      </c>
      <c r="M52" s="9" t="s">
        <v>299</v>
      </c>
    </row>
    <row r="53" spans="1:13" x14ac:dyDescent="0.25">
      <c r="A53" s="6">
        <v>5</v>
      </c>
      <c r="B53" s="6" t="s">
        <v>102</v>
      </c>
      <c r="C53" s="6" t="s">
        <v>300</v>
      </c>
      <c r="D53" s="6" t="s">
        <v>28</v>
      </c>
      <c r="E53" s="6" t="s">
        <v>29</v>
      </c>
      <c r="F53" s="6" t="s">
        <v>96</v>
      </c>
      <c r="G53" s="10">
        <v>0</v>
      </c>
      <c r="H53" s="10">
        <v>0.35568686098748031</v>
      </c>
      <c r="I53" s="10">
        <v>0.46935934842854138</v>
      </c>
      <c r="J53" s="10">
        <v>0.35650575379932598</v>
      </c>
      <c r="K53" s="10">
        <v>43.251327961348252</v>
      </c>
      <c r="L53" s="10">
        <v>30.282041524727092</v>
      </c>
      <c r="M53" s="10">
        <v>66.907081684469304</v>
      </c>
    </row>
    <row r="54" spans="1:13" x14ac:dyDescent="0.25">
      <c r="A54" s="8">
        <v>5</v>
      </c>
      <c r="B54" s="8" t="s">
        <v>102</v>
      </c>
      <c r="C54" s="8" t="s">
        <v>301</v>
      </c>
      <c r="D54" s="8" t="s">
        <v>28</v>
      </c>
      <c r="E54" s="8" t="s">
        <v>29</v>
      </c>
      <c r="F54" s="8" t="s">
        <v>96</v>
      </c>
      <c r="G54" s="11">
        <v>0</v>
      </c>
      <c r="H54" s="11">
        <v>0.22156090055420241</v>
      </c>
      <c r="I54" s="11">
        <v>0</v>
      </c>
      <c r="J54" s="11">
        <v>0.11647473715777031</v>
      </c>
      <c r="K54" s="11">
        <v>21.52228685090974</v>
      </c>
      <c r="L54" s="11">
        <v>17.072623143274491</v>
      </c>
      <c r="M54" s="11">
        <v>102.738159054381</v>
      </c>
    </row>
    <row r="55" spans="1:13" x14ac:dyDescent="0.25">
      <c r="A55" s="6">
        <v>6</v>
      </c>
      <c r="B55" s="6" t="s">
        <v>108</v>
      </c>
      <c r="C55" s="6" t="s">
        <v>300</v>
      </c>
      <c r="D55" s="6" t="s">
        <v>28</v>
      </c>
      <c r="E55" s="6" t="s">
        <v>29</v>
      </c>
      <c r="F55" s="6" t="s">
        <v>96</v>
      </c>
      <c r="G55" s="10">
        <v>0</v>
      </c>
      <c r="H55" s="10">
        <v>0.38306581509713777</v>
      </c>
      <c r="I55" s="10">
        <v>2.3361160569771502</v>
      </c>
      <c r="J55" s="10">
        <v>0.20461421027387261</v>
      </c>
      <c r="K55" s="10">
        <v>38.636070215722071</v>
      </c>
      <c r="L55" s="10">
        <v>26.286683002730651</v>
      </c>
      <c r="M55" s="10">
        <v>80.361862644527108</v>
      </c>
    </row>
    <row r="56" spans="1:13" x14ac:dyDescent="0.25">
      <c r="A56" s="8">
        <v>6</v>
      </c>
      <c r="B56" s="8" t="s">
        <v>108</v>
      </c>
      <c r="C56" s="8" t="s">
        <v>301</v>
      </c>
      <c r="D56" s="8" t="s">
        <v>28</v>
      </c>
      <c r="E56" s="8" t="s">
        <v>29</v>
      </c>
      <c r="F56" s="8" t="s">
        <v>96</v>
      </c>
      <c r="G56" s="11">
        <v>0</v>
      </c>
      <c r="H56" s="11">
        <v>0.83987814360898194</v>
      </c>
      <c r="I56" s="11">
        <v>1.7979996304002079</v>
      </c>
      <c r="J56" s="11">
        <v>0.57590785271071809</v>
      </c>
      <c r="K56" s="11">
        <v>16.043682536598411</v>
      </c>
      <c r="L56" s="11">
        <v>16.779596658523619</v>
      </c>
      <c r="M56" s="11">
        <v>112.1131547520701</v>
      </c>
    </row>
    <row r="57" spans="1:13" x14ac:dyDescent="0.25">
      <c r="A57" s="6">
        <v>7</v>
      </c>
      <c r="B57" s="6" t="s">
        <v>111</v>
      </c>
      <c r="C57" s="6" t="s">
        <v>300</v>
      </c>
      <c r="D57" s="6" t="s">
        <v>28</v>
      </c>
      <c r="E57" s="6" t="s">
        <v>29</v>
      </c>
      <c r="F57" s="6" t="s">
        <v>96</v>
      </c>
      <c r="G57" s="10">
        <v>0</v>
      </c>
      <c r="H57" s="10">
        <v>0.4715380269015641</v>
      </c>
      <c r="I57" s="10">
        <v>0.72334267161559207</v>
      </c>
      <c r="J57" s="10">
        <v>0.62657519758941227</v>
      </c>
      <c r="K57" s="10">
        <v>44.372426251753588</v>
      </c>
      <c r="L57" s="10">
        <v>30.69503766819436</v>
      </c>
      <c r="M57" s="10">
        <v>69.221442413661691</v>
      </c>
    </row>
    <row r="58" spans="1:13" x14ac:dyDescent="0.25">
      <c r="A58" s="8">
        <v>7</v>
      </c>
      <c r="B58" s="8" t="s">
        <v>111</v>
      </c>
      <c r="C58" s="8" t="s">
        <v>301</v>
      </c>
      <c r="D58" s="8" t="s">
        <v>28</v>
      </c>
      <c r="E58" s="8" t="s">
        <v>29</v>
      </c>
      <c r="F58" s="8" t="s">
        <v>96</v>
      </c>
      <c r="G58" s="11">
        <v>0</v>
      </c>
      <c r="H58" s="11">
        <v>0.56746055645718996</v>
      </c>
      <c r="I58" s="11">
        <v>0.55256306869115623</v>
      </c>
      <c r="J58" s="11">
        <v>1.005496809016533</v>
      </c>
      <c r="K58" s="11">
        <v>27.609909695058061</v>
      </c>
      <c r="L58" s="11">
        <v>19.892928271907479</v>
      </c>
      <c r="M58" s="11">
        <v>96.565811989808935</v>
      </c>
    </row>
    <row r="59" spans="1:13" x14ac:dyDescent="0.25">
      <c r="A59" s="6">
        <v>8</v>
      </c>
      <c r="B59" s="6" t="s">
        <v>117</v>
      </c>
      <c r="C59" s="6" t="s">
        <v>300</v>
      </c>
      <c r="D59" s="6" t="s">
        <v>28</v>
      </c>
      <c r="E59" s="6" t="s">
        <v>29</v>
      </c>
      <c r="F59" s="6" t="s">
        <v>96</v>
      </c>
      <c r="G59" s="10">
        <v>0</v>
      </c>
      <c r="H59" s="10">
        <v>0.37366038708160421</v>
      </c>
      <c r="I59" s="10">
        <v>0.70152151256216355</v>
      </c>
      <c r="J59" s="10">
        <v>0</v>
      </c>
      <c r="K59" s="10">
        <v>37.607352721049807</v>
      </c>
      <c r="L59" s="10">
        <v>27.61065850344794</v>
      </c>
      <c r="M59" s="10">
        <v>81.51318776562465</v>
      </c>
    </row>
    <row r="60" spans="1:13" x14ac:dyDescent="0.25">
      <c r="A60" s="8">
        <v>8</v>
      </c>
      <c r="B60" s="8" t="s">
        <v>117</v>
      </c>
      <c r="C60" s="8" t="s">
        <v>301</v>
      </c>
      <c r="D60" s="8" t="s">
        <v>28</v>
      </c>
      <c r="E60" s="8" t="s">
        <v>29</v>
      </c>
      <c r="F60" s="8" t="s">
        <v>96</v>
      </c>
      <c r="G60" s="11">
        <v>0</v>
      </c>
      <c r="H60" s="11">
        <v>0.83987814360898194</v>
      </c>
      <c r="I60" s="11">
        <v>1.7979996304002079</v>
      </c>
      <c r="J60" s="11">
        <v>0.46558889600755871</v>
      </c>
      <c r="K60" s="11">
        <v>16.046588129687478</v>
      </c>
      <c r="L60" s="11">
        <v>16.779596658523619</v>
      </c>
      <c r="M60" s="11">
        <v>111.8050567661586</v>
      </c>
    </row>
    <row r="61" spans="1:13" x14ac:dyDescent="0.25">
      <c r="A61" s="6">
        <v>9</v>
      </c>
      <c r="B61" s="6" t="s">
        <v>121</v>
      </c>
      <c r="C61" s="6" t="s">
        <v>300</v>
      </c>
      <c r="D61" s="6" t="s">
        <v>28</v>
      </c>
      <c r="E61" s="6" t="s">
        <v>29</v>
      </c>
      <c r="F61" s="6" t="s">
        <v>96</v>
      </c>
      <c r="G61" s="10">
        <v>0</v>
      </c>
      <c r="H61" s="10">
        <v>0.47498370401507511</v>
      </c>
      <c r="I61" s="10">
        <v>0.57585003194744566</v>
      </c>
      <c r="J61" s="10">
        <v>0.62657519758941227</v>
      </c>
      <c r="K61" s="10">
        <v>45.772824782401209</v>
      </c>
      <c r="L61" s="10">
        <v>32.149418815464323</v>
      </c>
      <c r="M61" s="10">
        <v>73.935191620178145</v>
      </c>
    </row>
    <row r="62" spans="1:13" x14ac:dyDescent="0.25">
      <c r="A62" s="8">
        <v>9</v>
      </c>
      <c r="B62" s="8" t="s">
        <v>121</v>
      </c>
      <c r="C62" s="8" t="s">
        <v>301</v>
      </c>
      <c r="D62" s="8" t="s">
        <v>28</v>
      </c>
      <c r="E62" s="8" t="s">
        <v>29</v>
      </c>
      <c r="F62" s="8" t="s">
        <v>96</v>
      </c>
      <c r="G62" s="11">
        <v>0</v>
      </c>
      <c r="H62" s="11">
        <v>0.65269298090049266</v>
      </c>
      <c r="I62" s="11">
        <v>1.4671353884529701</v>
      </c>
      <c r="J62" s="11">
        <v>1.3169091629820999</v>
      </c>
      <c r="K62" s="11">
        <v>32.191335446084793</v>
      </c>
      <c r="L62" s="11">
        <v>24.26414905968165</v>
      </c>
      <c r="M62" s="11">
        <v>93.660439746609754</v>
      </c>
    </row>
    <row r="63" spans="1:13" x14ac:dyDescent="0.25">
      <c r="A63" s="6">
        <v>10</v>
      </c>
      <c r="B63" s="6" t="s">
        <v>126</v>
      </c>
      <c r="C63" s="6" t="s">
        <v>300</v>
      </c>
      <c r="D63" s="6" t="s">
        <v>28</v>
      </c>
      <c r="E63" s="6" t="s">
        <v>29</v>
      </c>
      <c r="F63" s="6" t="s">
        <v>96</v>
      </c>
      <c r="G63" s="10">
        <v>0</v>
      </c>
      <c r="H63" s="10">
        <v>0.59332623218911007</v>
      </c>
      <c r="I63" s="10">
        <v>0.50673195714436814</v>
      </c>
      <c r="J63" s="10">
        <v>0.17990784099446211</v>
      </c>
      <c r="K63" s="10">
        <v>45.789637948542399</v>
      </c>
      <c r="L63" s="10">
        <v>33.363070952937612</v>
      </c>
      <c r="M63" s="10">
        <v>67.975437349422975</v>
      </c>
    </row>
    <row r="64" spans="1:13" x14ac:dyDescent="0.25">
      <c r="A64" s="8">
        <v>10</v>
      </c>
      <c r="B64" s="8" t="s">
        <v>126</v>
      </c>
      <c r="C64" s="8" t="s">
        <v>301</v>
      </c>
      <c r="D64" s="8" t="s">
        <v>28</v>
      </c>
      <c r="E64" s="8" t="s">
        <v>29</v>
      </c>
      <c r="F64" s="8" t="s">
        <v>96</v>
      </c>
      <c r="G64" s="11">
        <v>0</v>
      </c>
      <c r="H64" s="11">
        <v>0.83987814360898194</v>
      </c>
      <c r="I64" s="11">
        <v>1.7979996304002079</v>
      </c>
      <c r="J64" s="11">
        <v>0.57590785271071809</v>
      </c>
      <c r="K64" s="11">
        <v>16.043682536598411</v>
      </c>
      <c r="L64" s="11">
        <v>16.779596658523619</v>
      </c>
      <c r="M64" s="11">
        <v>112.1322772301322</v>
      </c>
    </row>
    <row r="65" spans="1:13" x14ac:dyDescent="0.25">
      <c r="A65" s="6">
        <v>19</v>
      </c>
      <c r="B65" s="6" t="s">
        <v>165</v>
      </c>
      <c r="C65" s="6" t="s">
        <v>300</v>
      </c>
      <c r="D65" s="6" t="s">
        <v>28</v>
      </c>
      <c r="E65" s="6" t="s">
        <v>29</v>
      </c>
      <c r="F65" s="6" t="s">
        <v>96</v>
      </c>
      <c r="G65" s="10">
        <v>0</v>
      </c>
      <c r="H65" s="10">
        <v>0.38306581509713777</v>
      </c>
      <c r="I65" s="10">
        <v>2.1897722900283969</v>
      </c>
      <c r="J65" s="10">
        <v>0.27392076034226231</v>
      </c>
      <c r="K65" s="10">
        <v>38.075352356880842</v>
      </c>
      <c r="L65" s="10">
        <v>25.722958107605791</v>
      </c>
      <c r="M65" s="10">
        <v>79.472710896771332</v>
      </c>
    </row>
    <row r="66" spans="1:13" x14ac:dyDescent="0.25">
      <c r="A66" s="8">
        <v>19</v>
      </c>
      <c r="B66" s="8" t="s">
        <v>165</v>
      </c>
      <c r="C66" s="8" t="s">
        <v>301</v>
      </c>
      <c r="D66" s="8" t="s">
        <v>28</v>
      </c>
      <c r="E66" s="8" t="s">
        <v>29</v>
      </c>
      <c r="F66" s="8" t="s">
        <v>96</v>
      </c>
      <c r="G66" s="11">
        <v>0</v>
      </c>
      <c r="H66" s="11">
        <v>0.57197412560405814</v>
      </c>
      <c r="I66" s="11">
        <v>0.55256306869115623</v>
      </c>
      <c r="J66" s="11">
        <v>1.033360466311896</v>
      </c>
      <c r="K66" s="11">
        <v>27.609909695058061</v>
      </c>
      <c r="L66" s="11">
        <v>19.892928271907479</v>
      </c>
      <c r="M66" s="11">
        <v>96.565811989808935</v>
      </c>
    </row>
    <row r="67" spans="1:13" x14ac:dyDescent="0.25">
      <c r="A67" s="6">
        <v>20</v>
      </c>
      <c r="B67" s="6" t="s">
        <v>168</v>
      </c>
      <c r="C67" s="6" t="s">
        <v>300</v>
      </c>
      <c r="D67" s="6" t="s">
        <v>28</v>
      </c>
      <c r="E67" s="6" t="s">
        <v>29</v>
      </c>
      <c r="F67" s="6" t="s">
        <v>96</v>
      </c>
      <c r="G67" s="10">
        <v>0</v>
      </c>
      <c r="H67" s="10">
        <v>0.25917593164792052</v>
      </c>
      <c r="I67" s="10">
        <v>0.71970849070423348</v>
      </c>
      <c r="J67" s="10">
        <v>0</v>
      </c>
      <c r="K67" s="10">
        <v>36.700109732675372</v>
      </c>
      <c r="L67" s="10">
        <v>27.29337511764809</v>
      </c>
      <c r="M67" s="10">
        <v>76.745440672119003</v>
      </c>
    </row>
    <row r="68" spans="1:13" x14ac:dyDescent="0.25">
      <c r="A68" s="8">
        <v>20</v>
      </c>
      <c r="B68" s="8" t="s">
        <v>168</v>
      </c>
      <c r="C68" s="8" t="s">
        <v>301</v>
      </c>
      <c r="D68" s="8" t="s">
        <v>28</v>
      </c>
      <c r="E68" s="8" t="s">
        <v>29</v>
      </c>
      <c r="F68" s="8" t="s">
        <v>96</v>
      </c>
      <c r="G68" s="11">
        <v>0</v>
      </c>
      <c r="H68" s="11">
        <v>0.22156090055420241</v>
      </c>
      <c r="I68" s="11">
        <v>0</v>
      </c>
      <c r="J68" s="11">
        <v>0.11647473715777031</v>
      </c>
      <c r="K68" s="11">
        <v>21.563271544616299</v>
      </c>
      <c r="L68" s="11">
        <v>17.074263189728988</v>
      </c>
      <c r="M68" s="11">
        <v>102.738159054381</v>
      </c>
    </row>
    <row r="69" spans="1:13" x14ac:dyDescent="0.25">
      <c r="A69" s="6">
        <v>21</v>
      </c>
      <c r="B69" s="6" t="s">
        <v>171</v>
      </c>
      <c r="C69" s="6" t="s">
        <v>300</v>
      </c>
      <c r="D69" s="6" t="s">
        <v>28</v>
      </c>
      <c r="E69" s="6" t="s">
        <v>29</v>
      </c>
      <c r="F69" s="6" t="s">
        <v>96</v>
      </c>
      <c r="G69" s="10">
        <v>0</v>
      </c>
      <c r="H69" s="10">
        <v>0.38306581509713777</v>
      </c>
      <c r="I69" s="10">
        <v>2.3834357776949719</v>
      </c>
      <c r="J69" s="10">
        <v>0.20461421027387261</v>
      </c>
      <c r="K69" s="10">
        <v>40.286147423309231</v>
      </c>
      <c r="L69" s="10">
        <v>27.901828734973211</v>
      </c>
      <c r="M69" s="10">
        <v>82.42120168353226</v>
      </c>
    </row>
    <row r="70" spans="1:13" x14ac:dyDescent="0.25">
      <c r="A70" s="8">
        <v>21</v>
      </c>
      <c r="B70" s="8" t="s">
        <v>171</v>
      </c>
      <c r="C70" s="8" t="s">
        <v>301</v>
      </c>
      <c r="D70" s="8" t="s">
        <v>28</v>
      </c>
      <c r="E70" s="8" t="s">
        <v>29</v>
      </c>
      <c r="F70" s="8" t="s">
        <v>96</v>
      </c>
      <c r="G70" s="11">
        <v>0</v>
      </c>
      <c r="H70" s="11">
        <v>0.65269298090049266</v>
      </c>
      <c r="I70" s="11">
        <v>1.4671353884529701</v>
      </c>
      <c r="J70" s="11">
        <v>1.3169091629820999</v>
      </c>
      <c r="K70" s="11">
        <v>32.226640796549887</v>
      </c>
      <c r="L70" s="11">
        <v>24.26414905968165</v>
      </c>
      <c r="M70" s="11">
        <v>93.660508823399397</v>
      </c>
    </row>
    <row r="71" spans="1:13" x14ac:dyDescent="0.25">
      <c r="A71" s="6">
        <v>22</v>
      </c>
      <c r="B71" s="6" t="s">
        <v>173</v>
      </c>
      <c r="C71" s="6" t="s">
        <v>300</v>
      </c>
      <c r="D71" s="6" t="s">
        <v>28</v>
      </c>
      <c r="E71" s="6" t="s">
        <v>29</v>
      </c>
      <c r="F71" s="6" t="s">
        <v>96</v>
      </c>
      <c r="G71" s="10">
        <v>0</v>
      </c>
      <c r="H71" s="10">
        <v>0.48442489010916312</v>
      </c>
      <c r="I71" s="10">
        <v>0.3753728936893338</v>
      </c>
      <c r="J71" s="10">
        <v>0.18567692695020599</v>
      </c>
      <c r="K71" s="10">
        <v>43.705091986944623</v>
      </c>
      <c r="L71" s="10">
        <v>31.31100557837641</v>
      </c>
      <c r="M71" s="10">
        <v>65.770164610094071</v>
      </c>
    </row>
    <row r="72" spans="1:13" x14ac:dyDescent="0.25">
      <c r="A72" s="8">
        <v>22</v>
      </c>
      <c r="B72" s="8" t="s">
        <v>173</v>
      </c>
      <c r="C72" s="8" t="s">
        <v>301</v>
      </c>
      <c r="D72" s="8" t="s">
        <v>28</v>
      </c>
      <c r="E72" s="8" t="s">
        <v>29</v>
      </c>
      <c r="F72" s="8" t="s">
        <v>96</v>
      </c>
      <c r="G72" s="11">
        <v>0</v>
      </c>
      <c r="H72" s="11">
        <v>0.22156090055420241</v>
      </c>
      <c r="I72" s="11">
        <v>0</v>
      </c>
      <c r="J72" s="11">
        <v>0.11647473715777031</v>
      </c>
      <c r="K72" s="11">
        <v>21.5665214603954</v>
      </c>
      <c r="L72" s="11">
        <v>17.030681899116161</v>
      </c>
      <c r="M72" s="11">
        <v>102.738159054381</v>
      </c>
    </row>
    <row r="73" spans="1:13" x14ac:dyDescent="0.25">
      <c r="A73" s="6">
        <v>29</v>
      </c>
      <c r="B73" s="6" t="s">
        <v>192</v>
      </c>
      <c r="C73" s="6" t="s">
        <v>300</v>
      </c>
      <c r="D73" s="6" t="s">
        <v>28</v>
      </c>
      <c r="E73" s="6" t="s">
        <v>29</v>
      </c>
      <c r="F73" s="6" t="s">
        <v>96</v>
      </c>
      <c r="G73" s="10">
        <v>0</v>
      </c>
      <c r="H73" s="10">
        <v>0.37366038708160421</v>
      </c>
      <c r="I73" s="10">
        <v>0.81249600997082738</v>
      </c>
      <c r="J73" s="10">
        <v>0</v>
      </c>
      <c r="K73" s="10">
        <v>37.762458193898382</v>
      </c>
      <c r="L73" s="10">
        <v>27.857434291214389</v>
      </c>
      <c r="M73" s="10">
        <v>81.812407450945699</v>
      </c>
    </row>
    <row r="74" spans="1:13" x14ac:dyDescent="0.25">
      <c r="A74" s="8">
        <v>29</v>
      </c>
      <c r="B74" s="8" t="s">
        <v>192</v>
      </c>
      <c r="C74" s="8" t="s">
        <v>301</v>
      </c>
      <c r="D74" s="8" t="s">
        <v>28</v>
      </c>
      <c r="E74" s="8" t="s">
        <v>29</v>
      </c>
      <c r="F74" s="8" t="s">
        <v>96</v>
      </c>
      <c r="G74" s="11">
        <v>0</v>
      </c>
      <c r="H74" s="11">
        <v>0.65269298090049266</v>
      </c>
      <c r="I74" s="11">
        <v>1.2528480982183561</v>
      </c>
      <c r="J74" s="11">
        <v>1.149895932972568</v>
      </c>
      <c r="K74" s="11">
        <v>30.80621122533811</v>
      </c>
      <c r="L74" s="11">
        <v>23.37216669639708</v>
      </c>
      <c r="M74" s="11">
        <v>91.318408228731826</v>
      </c>
    </row>
    <row r="75" spans="1:13" x14ac:dyDescent="0.25">
      <c r="A75" s="6">
        <v>30</v>
      </c>
      <c r="B75" s="6" t="s">
        <v>194</v>
      </c>
      <c r="C75" s="6" t="s">
        <v>300</v>
      </c>
      <c r="D75" s="6" t="s">
        <v>28</v>
      </c>
      <c r="E75" s="6" t="s">
        <v>29</v>
      </c>
      <c r="F75" s="6" t="s">
        <v>96</v>
      </c>
      <c r="G75" s="10">
        <v>0</v>
      </c>
      <c r="H75" s="10">
        <v>0.69927270070112768</v>
      </c>
      <c r="I75" s="10">
        <v>0.46628567792614323</v>
      </c>
      <c r="J75" s="10">
        <v>0.25148530388149032</v>
      </c>
      <c r="K75" s="10">
        <v>44.949249206480651</v>
      </c>
      <c r="L75" s="10">
        <v>32.631645338813911</v>
      </c>
      <c r="M75" s="10">
        <v>66.979394276202214</v>
      </c>
    </row>
    <row r="76" spans="1:13" x14ac:dyDescent="0.25">
      <c r="A76" s="8">
        <v>30</v>
      </c>
      <c r="B76" s="8" t="s">
        <v>194</v>
      </c>
      <c r="C76" s="8" t="s">
        <v>301</v>
      </c>
      <c r="D76" s="8" t="s">
        <v>28</v>
      </c>
      <c r="E76" s="8" t="s">
        <v>29</v>
      </c>
      <c r="F76" s="8" t="s">
        <v>96</v>
      </c>
      <c r="G76" s="11">
        <v>0</v>
      </c>
      <c r="H76" s="11">
        <v>0.57528410887100834</v>
      </c>
      <c r="I76" s="11">
        <v>0.55256306869115623</v>
      </c>
      <c r="J76" s="11">
        <v>0.6833899734934139</v>
      </c>
      <c r="K76" s="11">
        <v>27.609909695058061</v>
      </c>
      <c r="L76" s="11">
        <v>19.892928271907479</v>
      </c>
      <c r="M76" s="11">
        <v>96.5752612810128</v>
      </c>
    </row>
  </sheetData>
  <autoFilter ref="A52:M76"/>
  <mergeCells count="3">
    <mergeCell ref="A19:M19"/>
    <mergeCell ref="A49:M49"/>
    <mergeCell ref="A1:R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8" width="22" customWidth="1"/>
    <col min="9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340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38</v>
      </c>
      <c r="B5" s="6" t="s">
        <v>223</v>
      </c>
      <c r="C5" s="6" t="s">
        <v>42</v>
      </c>
      <c r="D5" s="6" t="s">
        <v>28</v>
      </c>
      <c r="E5" s="6" t="s">
        <v>31</v>
      </c>
      <c r="F5" s="6" t="s">
        <v>31</v>
      </c>
      <c r="G5" s="6" t="s">
        <v>224</v>
      </c>
      <c r="H5" s="6" t="s">
        <v>224</v>
      </c>
      <c r="I5" s="10">
        <v>326.35477257458922</v>
      </c>
      <c r="J5" s="10">
        <v>325.94609719425989</v>
      </c>
      <c r="K5" s="10">
        <v>395</v>
      </c>
      <c r="L5" s="10">
        <v>374.96151666666663</v>
      </c>
      <c r="M5" s="6" t="s">
        <v>225</v>
      </c>
      <c r="N5" s="6" t="s">
        <v>226</v>
      </c>
      <c r="O5" s="6" t="s">
        <v>227</v>
      </c>
      <c r="P5" s="6" t="s">
        <v>228</v>
      </c>
      <c r="Q5" s="10">
        <v>61.316237218779037</v>
      </c>
      <c r="R5" s="10">
        <v>59.540017015084743</v>
      </c>
    </row>
    <row r="6" spans="1:18" x14ac:dyDescent="0.25">
      <c r="A6" s="8">
        <v>53</v>
      </c>
      <c r="B6" s="8" t="s">
        <v>287</v>
      </c>
      <c r="C6" s="8" t="s">
        <v>42</v>
      </c>
      <c r="D6" s="8" t="s">
        <v>28</v>
      </c>
      <c r="E6" s="8" t="s">
        <v>31</v>
      </c>
      <c r="F6" s="8" t="s">
        <v>31</v>
      </c>
      <c r="G6" s="8" t="s">
        <v>235</v>
      </c>
      <c r="H6" s="8" t="s">
        <v>235</v>
      </c>
      <c r="I6" s="11">
        <v>325.4090582064992</v>
      </c>
      <c r="J6" s="11">
        <v>325.0956316318464</v>
      </c>
      <c r="K6" s="11">
        <v>353.84784999999999</v>
      </c>
      <c r="L6" s="11">
        <v>317.94676666666669</v>
      </c>
      <c r="M6" s="8" t="s">
        <v>239</v>
      </c>
      <c r="N6" s="8" t="s">
        <v>240</v>
      </c>
      <c r="O6" s="8" t="s">
        <v>236</v>
      </c>
      <c r="P6" s="8" t="s">
        <v>288</v>
      </c>
      <c r="Q6" s="11">
        <v>67.113187317822849</v>
      </c>
      <c r="R6" s="11">
        <v>62.785790581976698</v>
      </c>
    </row>
    <row r="9" spans="1:18" ht="27.95" customHeight="1" x14ac:dyDescent="0.25">
      <c r="A9" s="55" t="s">
        <v>341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1:18" ht="3.9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2" spans="1:18" ht="30" x14ac:dyDescent="0.25">
      <c r="A12" s="9" t="s">
        <v>59</v>
      </c>
      <c r="B12" s="9" t="s">
        <v>60</v>
      </c>
      <c r="C12" s="9" t="s">
        <v>292</v>
      </c>
      <c r="D12" s="9" t="s">
        <v>24</v>
      </c>
      <c r="E12" s="9" t="s">
        <v>61</v>
      </c>
      <c r="F12" s="9" t="s">
        <v>62</v>
      </c>
      <c r="G12" s="9" t="s">
        <v>293</v>
      </c>
      <c r="H12" s="9" t="s">
        <v>294</v>
      </c>
      <c r="I12" s="9" t="s">
        <v>295</v>
      </c>
      <c r="J12" s="9" t="s">
        <v>296</v>
      </c>
      <c r="K12" s="9" t="s">
        <v>297</v>
      </c>
      <c r="L12" s="9" t="s">
        <v>298</v>
      </c>
      <c r="M12" s="9" t="s">
        <v>299</v>
      </c>
    </row>
    <row r="13" spans="1:18" x14ac:dyDescent="0.25">
      <c r="A13" s="6">
        <v>38</v>
      </c>
      <c r="B13" s="6" t="s">
        <v>223</v>
      </c>
      <c r="C13" s="6" t="s">
        <v>300</v>
      </c>
      <c r="D13" s="6" t="s">
        <v>28</v>
      </c>
      <c r="E13" s="6" t="s">
        <v>31</v>
      </c>
      <c r="F13" s="6" t="s">
        <v>31</v>
      </c>
      <c r="G13" s="10">
        <v>50.366666666666667</v>
      </c>
      <c r="H13" s="10">
        <v>8.3666666666666671</v>
      </c>
      <c r="I13" s="10">
        <v>17.350000000000001</v>
      </c>
      <c r="J13" s="10">
        <v>4.75</v>
      </c>
      <c r="K13" s="10">
        <v>75.683333333333337</v>
      </c>
      <c r="L13" s="10">
        <v>57.18333333333333</v>
      </c>
      <c r="M13" s="10">
        <v>181.3</v>
      </c>
    </row>
    <row r="14" spans="1:18" x14ac:dyDescent="0.25">
      <c r="A14" s="8">
        <v>38</v>
      </c>
      <c r="B14" s="8" t="s">
        <v>223</v>
      </c>
      <c r="C14" s="8" t="s">
        <v>301</v>
      </c>
      <c r="D14" s="8" t="s">
        <v>28</v>
      </c>
      <c r="E14" s="8" t="s">
        <v>31</v>
      </c>
      <c r="F14" s="8" t="s">
        <v>31</v>
      </c>
      <c r="G14" s="11">
        <v>0</v>
      </c>
      <c r="H14" s="11">
        <v>42.65</v>
      </c>
      <c r="I14" s="11">
        <v>4.45</v>
      </c>
      <c r="J14" s="11">
        <v>12.016666666666669</v>
      </c>
      <c r="K14" s="11">
        <v>57.411516666666657</v>
      </c>
      <c r="L14" s="11">
        <v>49.6</v>
      </c>
      <c r="M14" s="11">
        <v>208.83333333333329</v>
      </c>
    </row>
    <row r="15" spans="1:18" x14ac:dyDescent="0.25">
      <c r="A15" s="6">
        <v>53</v>
      </c>
      <c r="B15" s="6" t="s">
        <v>287</v>
      </c>
      <c r="C15" s="6" t="s">
        <v>300</v>
      </c>
      <c r="D15" s="6" t="s">
        <v>28</v>
      </c>
      <c r="E15" s="6" t="s">
        <v>31</v>
      </c>
      <c r="F15" s="6" t="s">
        <v>31</v>
      </c>
      <c r="G15" s="10">
        <v>44.68333333333333</v>
      </c>
      <c r="H15" s="10">
        <v>6.6833333333333336</v>
      </c>
      <c r="I15" s="10">
        <v>11.75</v>
      </c>
      <c r="J15" s="10">
        <v>2.0166666666666671</v>
      </c>
      <c r="K15" s="10">
        <v>64.3</v>
      </c>
      <c r="L15" s="10">
        <v>51.866666666666667</v>
      </c>
      <c r="M15" s="10">
        <v>172.54785000000001</v>
      </c>
    </row>
    <row r="16" spans="1:18" x14ac:dyDescent="0.25">
      <c r="A16" s="8">
        <v>53</v>
      </c>
      <c r="B16" s="8" t="s">
        <v>287</v>
      </c>
      <c r="C16" s="8" t="s">
        <v>301</v>
      </c>
      <c r="D16" s="8" t="s">
        <v>28</v>
      </c>
      <c r="E16" s="8" t="s">
        <v>31</v>
      </c>
      <c r="F16" s="8" t="s">
        <v>31</v>
      </c>
      <c r="G16" s="11">
        <v>0</v>
      </c>
      <c r="H16" s="11">
        <v>3.0166666666666671</v>
      </c>
      <c r="I16" s="11">
        <v>4.3</v>
      </c>
      <c r="J16" s="11">
        <v>1.8833333333333331</v>
      </c>
      <c r="K16" s="11">
        <v>48.913433333333337</v>
      </c>
      <c r="L16" s="11">
        <v>35.333333333333343</v>
      </c>
      <c r="M16" s="11">
        <v>224.5</v>
      </c>
    </row>
    <row r="19" spans="1:13" ht="27.95" customHeight="1" x14ac:dyDescent="0.25">
      <c r="A19" s="55" t="s">
        <v>342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3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2" spans="1:13" ht="30" x14ac:dyDescent="0.25">
      <c r="A22" s="9" t="s">
        <v>59</v>
      </c>
      <c r="B22" s="9" t="s">
        <v>60</v>
      </c>
      <c r="C22" s="9" t="s">
        <v>292</v>
      </c>
      <c r="D22" s="9" t="s">
        <v>24</v>
      </c>
      <c r="E22" s="9" t="s">
        <v>61</v>
      </c>
      <c r="F22" s="9" t="s">
        <v>62</v>
      </c>
      <c r="G22" s="9" t="s">
        <v>293</v>
      </c>
      <c r="H22" s="9" t="s">
        <v>294</v>
      </c>
      <c r="I22" s="9" t="s">
        <v>295</v>
      </c>
      <c r="J22" s="9" t="s">
        <v>296</v>
      </c>
      <c r="K22" s="9" t="s">
        <v>297</v>
      </c>
      <c r="L22" s="9" t="s">
        <v>298</v>
      </c>
      <c r="M22" s="9" t="s">
        <v>299</v>
      </c>
    </row>
    <row r="23" spans="1:13" x14ac:dyDescent="0.25">
      <c r="A23" s="6">
        <v>38</v>
      </c>
      <c r="B23" s="6" t="s">
        <v>223</v>
      </c>
      <c r="C23" s="6" t="s">
        <v>300</v>
      </c>
      <c r="D23" s="6" t="s">
        <v>28</v>
      </c>
      <c r="E23" s="6" t="s">
        <v>31</v>
      </c>
      <c r="F23" s="6" t="s">
        <v>31</v>
      </c>
      <c r="G23" s="10">
        <v>0.1423627546916193</v>
      </c>
      <c r="H23" s="10">
        <v>0.19087658536061269</v>
      </c>
      <c r="I23" s="10">
        <v>0.1087001286100384</v>
      </c>
      <c r="J23" s="10">
        <v>0.39868431866922599</v>
      </c>
      <c r="K23" s="10">
        <v>67.358249040373622</v>
      </c>
      <c r="L23" s="10">
        <v>52.262791432987221</v>
      </c>
      <c r="M23" s="10">
        <v>205.89310831389679</v>
      </c>
    </row>
    <row r="24" spans="1:13" x14ac:dyDescent="0.25">
      <c r="A24" s="8">
        <v>38</v>
      </c>
      <c r="B24" s="8" t="s">
        <v>223</v>
      </c>
      <c r="C24" s="8" t="s">
        <v>301</v>
      </c>
      <c r="D24" s="8" t="s">
        <v>28</v>
      </c>
      <c r="E24" s="8" t="s">
        <v>31</v>
      </c>
      <c r="F24" s="8" t="s">
        <v>31</v>
      </c>
      <c r="G24" s="11">
        <v>0</v>
      </c>
      <c r="H24" s="11">
        <v>0.54761889554039</v>
      </c>
      <c r="I24" s="11">
        <v>5.0473616639224998E-2</v>
      </c>
      <c r="J24" s="11">
        <v>0.94513627935308775</v>
      </c>
      <c r="K24" s="11">
        <v>50.571016219655441</v>
      </c>
      <c r="L24" s="11">
        <v>45.612596971397018</v>
      </c>
      <c r="M24" s="11">
        <v>228.21925521167481</v>
      </c>
    </row>
    <row r="25" spans="1:13" x14ac:dyDescent="0.25">
      <c r="A25" s="6">
        <v>53</v>
      </c>
      <c r="B25" s="6" t="s">
        <v>287</v>
      </c>
      <c r="C25" s="6" t="s">
        <v>300</v>
      </c>
      <c r="D25" s="6" t="s">
        <v>28</v>
      </c>
      <c r="E25" s="6" t="s">
        <v>31</v>
      </c>
      <c r="F25" s="6" t="s">
        <v>31</v>
      </c>
      <c r="G25" s="10">
        <v>5.2222732101069563E-2</v>
      </c>
      <c r="H25" s="10">
        <v>0.12701409600270411</v>
      </c>
      <c r="I25" s="10">
        <v>3.1548608690509579E-2</v>
      </c>
      <c r="J25" s="10">
        <v>0.16750319091501231</v>
      </c>
      <c r="K25" s="10">
        <v>59.942098202755432</v>
      </c>
      <c r="L25" s="10">
        <v>53.823119668093447</v>
      </c>
      <c r="M25" s="10">
        <v>211.265551707941</v>
      </c>
    </row>
    <row r="26" spans="1:13" x14ac:dyDescent="0.25">
      <c r="A26" s="8">
        <v>53</v>
      </c>
      <c r="B26" s="8" t="s">
        <v>287</v>
      </c>
      <c r="C26" s="8" t="s">
        <v>301</v>
      </c>
      <c r="D26" s="8" t="s">
        <v>28</v>
      </c>
      <c r="E26" s="8" t="s">
        <v>31</v>
      </c>
      <c r="F26" s="8" t="s">
        <v>31</v>
      </c>
      <c r="G26" s="11">
        <v>0</v>
      </c>
      <c r="H26" s="11">
        <v>2.1664931883547331E-3</v>
      </c>
      <c r="I26" s="11">
        <v>4.085835435001741E-2</v>
      </c>
      <c r="J26" s="11">
        <v>0.36129624957342932</v>
      </c>
      <c r="K26" s="11">
        <v>42.408761093682124</v>
      </c>
      <c r="L26" s="11">
        <v>30.728695534576911</v>
      </c>
      <c r="M26" s="11">
        <v>251.55385390647561</v>
      </c>
    </row>
  </sheetData>
  <autoFilter ref="A22:M26"/>
  <mergeCells count="3">
    <mergeCell ref="A19:M19"/>
    <mergeCell ref="A1:R1"/>
    <mergeCell ref="A9:M9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8" width="22" customWidth="1"/>
    <col min="9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39</v>
      </c>
      <c r="B5" s="6" t="s">
        <v>229</v>
      </c>
      <c r="C5" s="6" t="s">
        <v>44</v>
      </c>
      <c r="D5" s="6" t="s">
        <v>28</v>
      </c>
      <c r="E5" s="6" t="s">
        <v>31</v>
      </c>
      <c r="F5" s="6" t="s">
        <v>31</v>
      </c>
      <c r="G5" s="6" t="s">
        <v>224</v>
      </c>
      <c r="H5" s="6" t="s">
        <v>230</v>
      </c>
      <c r="I5" s="10">
        <v>325.41591380093507</v>
      </c>
      <c r="J5" s="10">
        <v>325.05351767503993</v>
      </c>
      <c r="K5" s="10">
        <v>392.37093333333343</v>
      </c>
      <c r="L5" s="10">
        <v>411.88261666666671</v>
      </c>
      <c r="M5" s="6" t="s">
        <v>231</v>
      </c>
      <c r="N5" s="6" t="s">
        <v>226</v>
      </c>
      <c r="O5" s="6" t="s">
        <v>232</v>
      </c>
      <c r="P5" s="6" t="s">
        <v>233</v>
      </c>
      <c r="Q5" s="10">
        <v>61.64781186469645</v>
      </c>
      <c r="R5" s="10">
        <v>56.977909507314003</v>
      </c>
    </row>
    <row r="6" spans="1:18" x14ac:dyDescent="0.25">
      <c r="A6" s="8">
        <v>40</v>
      </c>
      <c r="B6" s="8" t="s">
        <v>234</v>
      </c>
      <c r="C6" s="8" t="s">
        <v>44</v>
      </c>
      <c r="D6" s="8" t="s">
        <v>28</v>
      </c>
      <c r="E6" s="8" t="s">
        <v>31</v>
      </c>
      <c r="F6" s="8" t="s">
        <v>31</v>
      </c>
      <c r="G6" s="8" t="s">
        <v>224</v>
      </c>
      <c r="H6" s="8" t="s">
        <v>235</v>
      </c>
      <c r="I6" s="11">
        <v>326.42355177683419</v>
      </c>
      <c r="J6" s="11">
        <v>325.95210910875733</v>
      </c>
      <c r="K6" s="11">
        <v>395</v>
      </c>
      <c r="L6" s="11">
        <v>319.50481666666673</v>
      </c>
      <c r="M6" s="8" t="s">
        <v>225</v>
      </c>
      <c r="N6" s="8" t="s">
        <v>226</v>
      </c>
      <c r="O6" s="8" t="s">
        <v>236</v>
      </c>
      <c r="P6" s="8" t="s">
        <v>237</v>
      </c>
      <c r="Q6" s="11">
        <v>61.329177126178159</v>
      </c>
      <c r="R6" s="11">
        <v>62.637050944032119</v>
      </c>
    </row>
    <row r="7" spans="1:18" x14ac:dyDescent="0.25">
      <c r="A7" s="6">
        <v>41</v>
      </c>
      <c r="B7" s="6" t="s">
        <v>238</v>
      </c>
      <c r="C7" s="6" t="s">
        <v>44</v>
      </c>
      <c r="D7" s="6" t="s">
        <v>28</v>
      </c>
      <c r="E7" s="6" t="s">
        <v>31</v>
      </c>
      <c r="F7" s="6" t="s">
        <v>31</v>
      </c>
      <c r="G7" s="6" t="s">
        <v>235</v>
      </c>
      <c r="H7" s="6" t="s">
        <v>224</v>
      </c>
      <c r="I7" s="10">
        <v>325.44929939593982</v>
      </c>
      <c r="J7" s="10">
        <v>325.19747839743411</v>
      </c>
      <c r="K7" s="10">
        <v>353.84784999999999</v>
      </c>
      <c r="L7" s="10">
        <v>372.55040000000002</v>
      </c>
      <c r="M7" s="6" t="s">
        <v>239</v>
      </c>
      <c r="N7" s="6" t="s">
        <v>240</v>
      </c>
      <c r="O7" s="6" t="s">
        <v>227</v>
      </c>
      <c r="P7" s="6" t="s">
        <v>241</v>
      </c>
      <c r="Q7" s="10">
        <v>67.12149214202077</v>
      </c>
      <c r="R7" s="10">
        <v>59.843107131271857</v>
      </c>
    </row>
    <row r="8" spans="1:18" x14ac:dyDescent="0.25">
      <c r="A8" s="8">
        <v>47</v>
      </c>
      <c r="B8" s="8" t="s">
        <v>266</v>
      </c>
      <c r="C8" s="8" t="s">
        <v>44</v>
      </c>
      <c r="D8" s="8" t="s">
        <v>28</v>
      </c>
      <c r="E8" s="8" t="s">
        <v>31</v>
      </c>
      <c r="F8" s="8" t="s">
        <v>31</v>
      </c>
      <c r="G8" s="8" t="s">
        <v>235</v>
      </c>
      <c r="H8" s="8" t="s">
        <v>230</v>
      </c>
      <c r="I8" s="11">
        <v>325.38165129441143</v>
      </c>
      <c r="J8" s="11">
        <v>325.17312937934167</v>
      </c>
      <c r="K8" s="11">
        <v>353.84784999999999</v>
      </c>
      <c r="L8" s="11">
        <v>412.48813333333328</v>
      </c>
      <c r="M8" s="8" t="s">
        <v>239</v>
      </c>
      <c r="N8" s="8" t="s">
        <v>240</v>
      </c>
      <c r="O8" s="8" t="s">
        <v>267</v>
      </c>
      <c r="P8" s="8" t="s">
        <v>268</v>
      </c>
      <c r="Q8" s="11">
        <v>67.10753118315435</v>
      </c>
      <c r="R8" s="11">
        <v>57.067129814922858</v>
      </c>
    </row>
    <row r="11" spans="1:18" ht="27.95" customHeight="1" x14ac:dyDescent="0.25">
      <c r="A11" s="55" t="s">
        <v>344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8" ht="3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4" spans="1:18" ht="30" x14ac:dyDescent="0.25">
      <c r="A14" s="9" t="s">
        <v>59</v>
      </c>
      <c r="B14" s="9" t="s">
        <v>60</v>
      </c>
      <c r="C14" s="9" t="s">
        <v>292</v>
      </c>
      <c r="D14" s="9" t="s">
        <v>24</v>
      </c>
      <c r="E14" s="9" t="s">
        <v>61</v>
      </c>
      <c r="F14" s="9" t="s">
        <v>62</v>
      </c>
      <c r="G14" s="9" t="s">
        <v>293</v>
      </c>
      <c r="H14" s="9" t="s">
        <v>294</v>
      </c>
      <c r="I14" s="9" t="s">
        <v>295</v>
      </c>
      <c r="J14" s="9" t="s">
        <v>296</v>
      </c>
      <c r="K14" s="9" t="s">
        <v>297</v>
      </c>
      <c r="L14" s="9" t="s">
        <v>298</v>
      </c>
      <c r="M14" s="9" t="s">
        <v>299</v>
      </c>
    </row>
    <row r="15" spans="1:18" x14ac:dyDescent="0.25">
      <c r="A15" s="6">
        <v>39</v>
      </c>
      <c r="B15" s="6" t="s">
        <v>229</v>
      </c>
      <c r="C15" s="6" t="s">
        <v>300</v>
      </c>
      <c r="D15" s="6" t="s">
        <v>28</v>
      </c>
      <c r="E15" s="6" t="s">
        <v>31</v>
      </c>
      <c r="F15" s="6" t="s">
        <v>31</v>
      </c>
      <c r="G15" s="10">
        <v>50.366666666666667</v>
      </c>
      <c r="H15" s="10">
        <v>8.3666666666666671</v>
      </c>
      <c r="I15" s="10">
        <v>17.350000000000001</v>
      </c>
      <c r="J15" s="10">
        <v>4.583333333333333</v>
      </c>
      <c r="K15" s="10">
        <v>74.783333333333331</v>
      </c>
      <c r="L15" s="10">
        <v>56.437600000000003</v>
      </c>
      <c r="M15" s="10">
        <v>180.48333333333329</v>
      </c>
    </row>
    <row r="16" spans="1:18" x14ac:dyDescent="0.25">
      <c r="A16" s="8">
        <v>39</v>
      </c>
      <c r="B16" s="8" t="s">
        <v>229</v>
      </c>
      <c r="C16" s="8" t="s">
        <v>301</v>
      </c>
      <c r="D16" s="8" t="s">
        <v>28</v>
      </c>
      <c r="E16" s="8" t="s">
        <v>31</v>
      </c>
      <c r="F16" s="8" t="s">
        <v>31</v>
      </c>
      <c r="G16" s="11">
        <v>0</v>
      </c>
      <c r="H16" s="11">
        <v>62.766666666666673</v>
      </c>
      <c r="I16" s="11">
        <v>7.8833333333333337</v>
      </c>
      <c r="J16" s="11">
        <v>2.9833333333333329</v>
      </c>
      <c r="K16" s="11">
        <v>67.358066666666659</v>
      </c>
      <c r="L16" s="11">
        <v>47.916666666666657</v>
      </c>
      <c r="M16" s="11">
        <v>222.97454999999999</v>
      </c>
    </row>
    <row r="17" spans="1:13" x14ac:dyDescent="0.25">
      <c r="A17" s="6">
        <v>40</v>
      </c>
      <c r="B17" s="6" t="s">
        <v>234</v>
      </c>
      <c r="C17" s="6" t="s">
        <v>300</v>
      </c>
      <c r="D17" s="6" t="s">
        <v>28</v>
      </c>
      <c r="E17" s="6" t="s">
        <v>31</v>
      </c>
      <c r="F17" s="6" t="s">
        <v>31</v>
      </c>
      <c r="G17" s="10">
        <v>50.366666666666667</v>
      </c>
      <c r="H17" s="10">
        <v>8.3666666666666671</v>
      </c>
      <c r="I17" s="10">
        <v>17.350000000000001</v>
      </c>
      <c r="J17" s="10">
        <v>4.75</v>
      </c>
      <c r="K17" s="10">
        <v>75.683333333333337</v>
      </c>
      <c r="L17" s="10">
        <v>57.18333333333333</v>
      </c>
      <c r="M17" s="10">
        <v>181.3</v>
      </c>
    </row>
    <row r="18" spans="1:13" x14ac:dyDescent="0.25">
      <c r="A18" s="8">
        <v>40</v>
      </c>
      <c r="B18" s="8" t="s">
        <v>234</v>
      </c>
      <c r="C18" s="8" t="s">
        <v>301</v>
      </c>
      <c r="D18" s="8" t="s">
        <v>28</v>
      </c>
      <c r="E18" s="8" t="s">
        <v>31</v>
      </c>
      <c r="F18" s="8" t="s">
        <v>31</v>
      </c>
      <c r="G18" s="11">
        <v>0</v>
      </c>
      <c r="H18" s="11">
        <v>3.0166666666666671</v>
      </c>
      <c r="I18" s="11">
        <v>4.3</v>
      </c>
      <c r="J18" s="11">
        <v>1.8833333333333331</v>
      </c>
      <c r="K18" s="11">
        <v>49.166666666666657</v>
      </c>
      <c r="L18" s="11">
        <v>35.333333333333343</v>
      </c>
      <c r="M18" s="11">
        <v>225.80481666666671</v>
      </c>
    </row>
    <row r="19" spans="1:13" x14ac:dyDescent="0.25">
      <c r="A19" s="6">
        <v>41</v>
      </c>
      <c r="B19" s="6" t="s">
        <v>238</v>
      </c>
      <c r="C19" s="6" t="s">
        <v>300</v>
      </c>
      <c r="D19" s="6" t="s">
        <v>28</v>
      </c>
      <c r="E19" s="6" t="s">
        <v>31</v>
      </c>
      <c r="F19" s="6" t="s">
        <v>31</v>
      </c>
      <c r="G19" s="10">
        <v>44.68333333333333</v>
      </c>
      <c r="H19" s="10">
        <v>6.6833333333333336</v>
      </c>
      <c r="I19" s="10">
        <v>11.75</v>
      </c>
      <c r="J19" s="10">
        <v>2.0166666666666671</v>
      </c>
      <c r="K19" s="10">
        <v>64.3</v>
      </c>
      <c r="L19" s="10">
        <v>51.866666666666667</v>
      </c>
      <c r="M19" s="10">
        <v>172.54785000000001</v>
      </c>
    </row>
    <row r="20" spans="1:13" x14ac:dyDescent="0.25">
      <c r="A20" s="8">
        <v>41</v>
      </c>
      <c r="B20" s="8" t="s">
        <v>238</v>
      </c>
      <c r="C20" s="8" t="s">
        <v>301</v>
      </c>
      <c r="D20" s="8" t="s">
        <v>28</v>
      </c>
      <c r="E20" s="8" t="s">
        <v>31</v>
      </c>
      <c r="F20" s="8" t="s">
        <v>31</v>
      </c>
      <c r="G20" s="11">
        <v>0</v>
      </c>
      <c r="H20" s="11">
        <v>42.65</v>
      </c>
      <c r="I20" s="11">
        <v>4.45</v>
      </c>
      <c r="J20" s="11">
        <v>12.016666666666669</v>
      </c>
      <c r="K20" s="11">
        <v>56.916666666666657</v>
      </c>
      <c r="L20" s="11">
        <v>49.017066666666658</v>
      </c>
      <c r="M20" s="11">
        <v>207.5</v>
      </c>
    </row>
    <row r="21" spans="1:13" x14ac:dyDescent="0.25">
      <c r="A21" s="6">
        <v>47</v>
      </c>
      <c r="B21" s="6" t="s">
        <v>266</v>
      </c>
      <c r="C21" s="6" t="s">
        <v>300</v>
      </c>
      <c r="D21" s="6" t="s">
        <v>28</v>
      </c>
      <c r="E21" s="6" t="s">
        <v>31</v>
      </c>
      <c r="F21" s="6" t="s">
        <v>31</v>
      </c>
      <c r="G21" s="10">
        <v>44.68333333333333</v>
      </c>
      <c r="H21" s="10">
        <v>6.6833333333333336</v>
      </c>
      <c r="I21" s="10">
        <v>11.75</v>
      </c>
      <c r="J21" s="10">
        <v>2.0166666666666671</v>
      </c>
      <c r="K21" s="10">
        <v>64.3</v>
      </c>
      <c r="L21" s="10">
        <v>51.866666666666667</v>
      </c>
      <c r="M21" s="10">
        <v>172.54785000000001</v>
      </c>
    </row>
    <row r="22" spans="1:13" x14ac:dyDescent="0.25">
      <c r="A22" s="8">
        <v>47</v>
      </c>
      <c r="B22" s="8" t="s">
        <v>266</v>
      </c>
      <c r="C22" s="8" t="s">
        <v>301</v>
      </c>
      <c r="D22" s="8" t="s">
        <v>28</v>
      </c>
      <c r="E22" s="8" t="s">
        <v>31</v>
      </c>
      <c r="F22" s="8" t="s">
        <v>31</v>
      </c>
      <c r="G22" s="11">
        <v>0</v>
      </c>
      <c r="H22" s="11">
        <v>62.766666666666673</v>
      </c>
      <c r="I22" s="11">
        <v>8.9</v>
      </c>
      <c r="J22" s="11">
        <v>3.3</v>
      </c>
      <c r="K22" s="11">
        <v>67.36666666666666</v>
      </c>
      <c r="L22" s="11">
        <v>48.233333333333327</v>
      </c>
      <c r="M22" s="11">
        <v>221.9214666666667</v>
      </c>
    </row>
    <row r="25" spans="1:13" ht="27.95" customHeight="1" x14ac:dyDescent="0.25">
      <c r="A25" s="55" t="s">
        <v>345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</row>
    <row r="26" spans="1:13" ht="3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8" spans="1:13" ht="30" x14ac:dyDescent="0.25">
      <c r="A28" s="9" t="s">
        <v>59</v>
      </c>
      <c r="B28" s="9" t="s">
        <v>60</v>
      </c>
      <c r="C28" s="9" t="s">
        <v>292</v>
      </c>
      <c r="D28" s="9" t="s">
        <v>24</v>
      </c>
      <c r="E28" s="9" t="s">
        <v>61</v>
      </c>
      <c r="F28" s="9" t="s">
        <v>62</v>
      </c>
      <c r="G28" s="9" t="s">
        <v>293</v>
      </c>
      <c r="H28" s="9" t="s">
        <v>294</v>
      </c>
      <c r="I28" s="9" t="s">
        <v>295</v>
      </c>
      <c r="J28" s="9" t="s">
        <v>296</v>
      </c>
      <c r="K28" s="9" t="s">
        <v>297</v>
      </c>
      <c r="L28" s="9" t="s">
        <v>298</v>
      </c>
      <c r="M28" s="9" t="s">
        <v>299</v>
      </c>
    </row>
    <row r="29" spans="1:13" x14ac:dyDescent="0.25">
      <c r="A29" s="6">
        <v>39</v>
      </c>
      <c r="B29" s="6" t="s">
        <v>229</v>
      </c>
      <c r="C29" s="6" t="s">
        <v>300</v>
      </c>
      <c r="D29" s="6" t="s">
        <v>28</v>
      </c>
      <c r="E29" s="6" t="s">
        <v>31</v>
      </c>
      <c r="F29" s="6" t="s">
        <v>31</v>
      </c>
      <c r="G29" s="10">
        <v>0.1423627546916193</v>
      </c>
      <c r="H29" s="10">
        <v>0.19087658536061269</v>
      </c>
      <c r="I29" s="10">
        <v>0.1087001286100384</v>
      </c>
      <c r="J29" s="10">
        <v>0.37808500805927941</v>
      </c>
      <c r="K29" s="10">
        <v>67.007992810224437</v>
      </c>
      <c r="L29" s="10">
        <v>52.066282694191528</v>
      </c>
      <c r="M29" s="10">
        <v>205.52161381979761</v>
      </c>
    </row>
    <row r="30" spans="1:13" x14ac:dyDescent="0.25">
      <c r="A30" s="8">
        <v>39</v>
      </c>
      <c r="B30" s="8" t="s">
        <v>229</v>
      </c>
      <c r="C30" s="8" t="s">
        <v>301</v>
      </c>
      <c r="D30" s="8" t="s">
        <v>28</v>
      </c>
      <c r="E30" s="8" t="s">
        <v>31</v>
      </c>
      <c r="F30" s="8" t="s">
        <v>31</v>
      </c>
      <c r="G30" s="11">
        <v>0</v>
      </c>
      <c r="H30" s="11">
        <v>0.90317783554809627</v>
      </c>
      <c r="I30" s="11">
        <v>0.1049872832033934</v>
      </c>
      <c r="J30" s="11">
        <v>0.63732161434013213</v>
      </c>
      <c r="K30" s="11">
        <v>52.912666076357993</v>
      </c>
      <c r="L30" s="11">
        <v>38.055957494648879</v>
      </c>
      <c r="M30" s="11">
        <v>232.43940737094141</v>
      </c>
    </row>
    <row r="31" spans="1:13" x14ac:dyDescent="0.25">
      <c r="A31" s="6">
        <v>40</v>
      </c>
      <c r="B31" s="6" t="s">
        <v>234</v>
      </c>
      <c r="C31" s="6" t="s">
        <v>300</v>
      </c>
      <c r="D31" s="6" t="s">
        <v>28</v>
      </c>
      <c r="E31" s="6" t="s">
        <v>31</v>
      </c>
      <c r="F31" s="6" t="s">
        <v>31</v>
      </c>
      <c r="G31" s="10">
        <v>0.1423627546916193</v>
      </c>
      <c r="H31" s="10">
        <v>0.19087658536061269</v>
      </c>
      <c r="I31" s="10">
        <v>0.1087001286100384</v>
      </c>
      <c r="J31" s="10">
        <v>0.39868431866922599</v>
      </c>
      <c r="K31" s="10">
        <v>67.358249040373622</v>
      </c>
      <c r="L31" s="10">
        <v>52.27381680184341</v>
      </c>
      <c r="M31" s="10">
        <v>205.9508621472857</v>
      </c>
    </row>
    <row r="32" spans="1:13" x14ac:dyDescent="0.25">
      <c r="A32" s="8">
        <v>40</v>
      </c>
      <c r="B32" s="8" t="s">
        <v>234</v>
      </c>
      <c r="C32" s="8" t="s">
        <v>301</v>
      </c>
      <c r="D32" s="8" t="s">
        <v>28</v>
      </c>
      <c r="E32" s="8" t="s">
        <v>31</v>
      </c>
      <c r="F32" s="8" t="s">
        <v>31</v>
      </c>
      <c r="G32" s="11">
        <v>0</v>
      </c>
      <c r="H32" s="11">
        <v>2.1664931883547331E-3</v>
      </c>
      <c r="I32" s="11">
        <v>4.085835435001741E-2</v>
      </c>
      <c r="J32" s="11">
        <v>0.36129624957342932</v>
      </c>
      <c r="K32" s="11">
        <v>42.505617415062652</v>
      </c>
      <c r="L32" s="11">
        <v>30.728695534576911</v>
      </c>
      <c r="M32" s="11">
        <v>252.31347506200601</v>
      </c>
    </row>
    <row r="33" spans="1:13" x14ac:dyDescent="0.25">
      <c r="A33" s="6">
        <v>41</v>
      </c>
      <c r="B33" s="6" t="s">
        <v>238</v>
      </c>
      <c r="C33" s="6" t="s">
        <v>300</v>
      </c>
      <c r="D33" s="6" t="s">
        <v>28</v>
      </c>
      <c r="E33" s="6" t="s">
        <v>31</v>
      </c>
      <c r="F33" s="6" t="s">
        <v>31</v>
      </c>
      <c r="G33" s="10">
        <v>5.2222732101069563E-2</v>
      </c>
      <c r="H33" s="10">
        <v>0.12701409600270411</v>
      </c>
      <c r="I33" s="10">
        <v>3.1548608690509579E-2</v>
      </c>
      <c r="J33" s="10">
        <v>0.16750319091501231</v>
      </c>
      <c r="K33" s="10">
        <v>59.993505539180077</v>
      </c>
      <c r="L33" s="10">
        <v>53.823119668093447</v>
      </c>
      <c r="M33" s="10">
        <v>211.25438556095691</v>
      </c>
    </row>
    <row r="34" spans="1:13" x14ac:dyDescent="0.25">
      <c r="A34" s="8">
        <v>41</v>
      </c>
      <c r="B34" s="8" t="s">
        <v>238</v>
      </c>
      <c r="C34" s="8" t="s">
        <v>301</v>
      </c>
      <c r="D34" s="8" t="s">
        <v>28</v>
      </c>
      <c r="E34" s="8" t="s">
        <v>31</v>
      </c>
      <c r="F34" s="8" t="s">
        <v>31</v>
      </c>
      <c r="G34" s="11">
        <v>0</v>
      </c>
      <c r="H34" s="11">
        <v>0.54761889554039</v>
      </c>
      <c r="I34" s="11">
        <v>5.0473616639224998E-2</v>
      </c>
      <c r="J34" s="11">
        <v>0.94513627935308775</v>
      </c>
      <c r="K34" s="11">
        <v>50.235548888441691</v>
      </c>
      <c r="L34" s="11">
        <v>45.362202854839133</v>
      </c>
      <c r="M34" s="11">
        <v>228.0564978626206</v>
      </c>
    </row>
    <row r="35" spans="1:13" x14ac:dyDescent="0.25">
      <c r="A35" s="6">
        <v>47</v>
      </c>
      <c r="B35" s="6" t="s">
        <v>266</v>
      </c>
      <c r="C35" s="6" t="s">
        <v>300</v>
      </c>
      <c r="D35" s="6" t="s">
        <v>28</v>
      </c>
      <c r="E35" s="6" t="s">
        <v>31</v>
      </c>
      <c r="F35" s="6" t="s">
        <v>31</v>
      </c>
      <c r="G35" s="10">
        <v>5.2222732101069563E-2</v>
      </c>
      <c r="H35" s="10">
        <v>0.12701409600270411</v>
      </c>
      <c r="I35" s="10">
        <v>3.1548608690509579E-2</v>
      </c>
      <c r="J35" s="10">
        <v>0.16750319091501231</v>
      </c>
      <c r="K35" s="10">
        <v>59.945805897200891</v>
      </c>
      <c r="L35" s="10">
        <v>53.823119668093447</v>
      </c>
      <c r="M35" s="10">
        <v>211.23443710140779</v>
      </c>
    </row>
    <row r="36" spans="1:13" x14ac:dyDescent="0.25">
      <c r="A36" s="8">
        <v>47</v>
      </c>
      <c r="B36" s="8" t="s">
        <v>266</v>
      </c>
      <c r="C36" s="8" t="s">
        <v>301</v>
      </c>
      <c r="D36" s="8" t="s">
        <v>28</v>
      </c>
      <c r="E36" s="8" t="s">
        <v>31</v>
      </c>
      <c r="F36" s="8" t="s">
        <v>31</v>
      </c>
      <c r="G36" s="11">
        <v>0</v>
      </c>
      <c r="H36" s="11">
        <v>0.90317783554809627</v>
      </c>
      <c r="I36" s="11">
        <v>0.108236844142404</v>
      </c>
      <c r="J36" s="11">
        <v>0.64815348413888652</v>
      </c>
      <c r="K36" s="11">
        <v>52.960680605724093</v>
      </c>
      <c r="L36" s="11">
        <v>38.363873389086699</v>
      </c>
      <c r="M36" s="11">
        <v>232.18900722070151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7" width="22" customWidth="1"/>
    <col min="8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346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42</v>
      </c>
      <c r="B5" s="6" t="s">
        <v>242</v>
      </c>
      <c r="C5" s="6" t="s">
        <v>42</v>
      </c>
      <c r="D5" s="6" t="s">
        <v>28</v>
      </c>
      <c r="E5" s="6" t="s">
        <v>33</v>
      </c>
      <c r="F5" s="6" t="s">
        <v>33</v>
      </c>
      <c r="G5" s="6" t="s">
        <v>243</v>
      </c>
      <c r="H5" s="6" t="s">
        <v>243</v>
      </c>
      <c r="I5" s="10">
        <v>321.86119576256169</v>
      </c>
      <c r="J5" s="10">
        <v>322.43341940471572</v>
      </c>
      <c r="K5" s="10">
        <v>405.77063333333331</v>
      </c>
      <c r="L5" s="10">
        <v>325.4048166666667</v>
      </c>
      <c r="M5" s="6" t="s">
        <v>244</v>
      </c>
      <c r="N5" s="6" t="s">
        <v>245</v>
      </c>
      <c r="O5" s="6" t="s">
        <v>246</v>
      </c>
      <c r="P5" s="6" t="s">
        <v>247</v>
      </c>
      <c r="Q5" s="10">
        <v>64.645314886366052</v>
      </c>
      <c r="R5" s="10">
        <v>63.964896238433653</v>
      </c>
    </row>
    <row r="6" spans="1:18" x14ac:dyDescent="0.25">
      <c r="A6" s="8">
        <v>48</v>
      </c>
      <c r="B6" s="8" t="s">
        <v>269</v>
      </c>
      <c r="C6" s="8" t="s">
        <v>42</v>
      </c>
      <c r="D6" s="8" t="s">
        <v>28</v>
      </c>
      <c r="E6" s="8" t="s">
        <v>33</v>
      </c>
      <c r="F6" s="8" t="s">
        <v>33</v>
      </c>
      <c r="G6" s="8" t="s">
        <v>249</v>
      </c>
      <c r="H6" s="8" t="s">
        <v>249</v>
      </c>
      <c r="I6" s="11">
        <v>325.39890709550622</v>
      </c>
      <c r="J6" s="11">
        <v>324.88432242009242</v>
      </c>
      <c r="K6" s="11">
        <v>410.73333333333329</v>
      </c>
      <c r="L6" s="11">
        <v>348.14720000000011</v>
      </c>
      <c r="M6" s="8" t="s">
        <v>255</v>
      </c>
      <c r="N6" s="8" t="s">
        <v>270</v>
      </c>
      <c r="O6" s="8" t="s">
        <v>271</v>
      </c>
      <c r="P6" s="8" t="s">
        <v>272</v>
      </c>
      <c r="Q6" s="11">
        <v>62.048170909885918</v>
      </c>
      <c r="R6" s="11">
        <v>63.51275377345894</v>
      </c>
    </row>
    <row r="7" spans="1:18" x14ac:dyDescent="0.25">
      <c r="A7" s="6">
        <v>54</v>
      </c>
      <c r="B7" s="6" t="s">
        <v>289</v>
      </c>
      <c r="C7" s="6" t="s">
        <v>42</v>
      </c>
      <c r="D7" s="6" t="s">
        <v>28</v>
      </c>
      <c r="E7" s="6" t="s">
        <v>33</v>
      </c>
      <c r="F7" s="6" t="s">
        <v>33</v>
      </c>
      <c r="G7" s="6" t="s">
        <v>260</v>
      </c>
      <c r="H7" s="6" t="s">
        <v>260</v>
      </c>
      <c r="I7" s="10">
        <v>324.46950740183598</v>
      </c>
      <c r="J7" s="10">
        <v>325.03344841128018</v>
      </c>
      <c r="K7" s="10">
        <v>417.36546666666669</v>
      </c>
      <c r="L7" s="10">
        <v>352.73333333333329</v>
      </c>
      <c r="M7" s="6" t="s">
        <v>278</v>
      </c>
      <c r="N7" s="6" t="s">
        <v>290</v>
      </c>
      <c r="O7" s="6" t="s">
        <v>261</v>
      </c>
      <c r="P7" s="6" t="s">
        <v>276</v>
      </c>
      <c r="Q7" s="10">
        <v>64.21541291915878</v>
      </c>
      <c r="R7" s="10">
        <v>59.707655911824418</v>
      </c>
    </row>
    <row r="10" spans="1:18" ht="27.95" customHeight="1" x14ac:dyDescent="0.25">
      <c r="A10" s="55" t="s">
        <v>347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</row>
    <row r="11" spans="1:18" ht="3.9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3" spans="1:18" ht="30" x14ac:dyDescent="0.25">
      <c r="A13" s="9" t="s">
        <v>59</v>
      </c>
      <c r="B13" s="9" t="s">
        <v>60</v>
      </c>
      <c r="C13" s="9" t="s">
        <v>292</v>
      </c>
      <c r="D13" s="9" t="s">
        <v>24</v>
      </c>
      <c r="E13" s="9" t="s">
        <v>61</v>
      </c>
      <c r="F13" s="9" t="s">
        <v>62</v>
      </c>
      <c r="G13" s="9" t="s">
        <v>293</v>
      </c>
      <c r="H13" s="9" t="s">
        <v>294</v>
      </c>
      <c r="I13" s="9" t="s">
        <v>295</v>
      </c>
      <c r="J13" s="9" t="s">
        <v>296</v>
      </c>
      <c r="K13" s="9" t="s">
        <v>297</v>
      </c>
      <c r="L13" s="9" t="s">
        <v>298</v>
      </c>
      <c r="M13" s="9" t="s">
        <v>299</v>
      </c>
    </row>
    <row r="14" spans="1:18" x14ac:dyDescent="0.25">
      <c r="A14" s="6">
        <v>42</v>
      </c>
      <c r="B14" s="6" t="s">
        <v>242</v>
      </c>
      <c r="C14" s="6" t="s">
        <v>300</v>
      </c>
      <c r="D14" s="6" t="s">
        <v>28</v>
      </c>
      <c r="E14" s="6" t="s">
        <v>33</v>
      </c>
      <c r="F14" s="6" t="s">
        <v>33</v>
      </c>
      <c r="G14" s="10">
        <v>63.2</v>
      </c>
      <c r="H14" s="10">
        <v>14.516666666666669</v>
      </c>
      <c r="I14" s="10">
        <v>29.516666666666669</v>
      </c>
      <c r="J14" s="10">
        <v>6.8833333333333337</v>
      </c>
      <c r="K14" s="10">
        <v>69.25</v>
      </c>
      <c r="L14" s="10">
        <v>57.887300000000003</v>
      </c>
      <c r="M14" s="10">
        <v>164.51666666666671</v>
      </c>
    </row>
    <row r="15" spans="1:18" x14ac:dyDescent="0.25">
      <c r="A15" s="8">
        <v>42</v>
      </c>
      <c r="B15" s="8" t="s">
        <v>242</v>
      </c>
      <c r="C15" s="8" t="s">
        <v>301</v>
      </c>
      <c r="D15" s="8" t="s">
        <v>28</v>
      </c>
      <c r="E15" s="8" t="s">
        <v>33</v>
      </c>
      <c r="F15" s="8" t="s">
        <v>33</v>
      </c>
      <c r="G15" s="11">
        <v>0</v>
      </c>
      <c r="H15" s="11">
        <v>20.583333333333329</v>
      </c>
      <c r="I15" s="11">
        <v>2.833333333333333</v>
      </c>
      <c r="J15" s="11">
        <v>4</v>
      </c>
      <c r="K15" s="11">
        <v>45.56666666666667</v>
      </c>
      <c r="L15" s="11">
        <v>33.783333333333331</v>
      </c>
      <c r="M15" s="11">
        <v>218.63815</v>
      </c>
    </row>
    <row r="16" spans="1:18" x14ac:dyDescent="0.25">
      <c r="A16" s="6">
        <v>48</v>
      </c>
      <c r="B16" s="6" t="s">
        <v>269</v>
      </c>
      <c r="C16" s="6" t="s">
        <v>300</v>
      </c>
      <c r="D16" s="6" t="s">
        <v>28</v>
      </c>
      <c r="E16" s="6" t="s">
        <v>33</v>
      </c>
      <c r="F16" s="6" t="s">
        <v>33</v>
      </c>
      <c r="G16" s="10">
        <v>0</v>
      </c>
      <c r="H16" s="10">
        <v>65.983333333333334</v>
      </c>
      <c r="I16" s="10">
        <v>30.533333333333331</v>
      </c>
      <c r="J16" s="10">
        <v>6.3833333333333337</v>
      </c>
      <c r="K16" s="10">
        <v>76.566666666666663</v>
      </c>
      <c r="L16" s="10">
        <v>59.983333333333327</v>
      </c>
      <c r="M16" s="10">
        <v>171.2833333333333</v>
      </c>
    </row>
    <row r="17" spans="1:13" x14ac:dyDescent="0.25">
      <c r="A17" s="8">
        <v>48</v>
      </c>
      <c r="B17" s="8" t="s">
        <v>269</v>
      </c>
      <c r="C17" s="8" t="s">
        <v>301</v>
      </c>
      <c r="D17" s="8" t="s">
        <v>28</v>
      </c>
      <c r="E17" s="8" t="s">
        <v>33</v>
      </c>
      <c r="F17" s="8" t="s">
        <v>33</v>
      </c>
      <c r="G17" s="11">
        <v>0</v>
      </c>
      <c r="H17" s="11">
        <v>35.4</v>
      </c>
      <c r="I17" s="11">
        <v>6.3166666666666664</v>
      </c>
      <c r="J17" s="11">
        <v>10.35</v>
      </c>
      <c r="K17" s="11">
        <v>65.8</v>
      </c>
      <c r="L17" s="11">
        <v>46.880533333333332</v>
      </c>
      <c r="M17" s="11">
        <v>183.4</v>
      </c>
    </row>
    <row r="18" spans="1:13" x14ac:dyDescent="0.25">
      <c r="A18" s="6">
        <v>54</v>
      </c>
      <c r="B18" s="6" t="s">
        <v>289</v>
      </c>
      <c r="C18" s="6" t="s">
        <v>300</v>
      </c>
      <c r="D18" s="6" t="s">
        <v>28</v>
      </c>
      <c r="E18" s="6" t="s">
        <v>33</v>
      </c>
      <c r="F18" s="6" t="s">
        <v>33</v>
      </c>
      <c r="G18" s="10">
        <v>34.833333333333343</v>
      </c>
      <c r="H18" s="10">
        <v>58.166666666666657</v>
      </c>
      <c r="I18" s="10">
        <v>21.679983333333329</v>
      </c>
      <c r="J18" s="10">
        <v>8</v>
      </c>
      <c r="K18" s="10">
        <v>64.5</v>
      </c>
      <c r="L18" s="10">
        <v>53.652149999999999</v>
      </c>
      <c r="M18" s="10">
        <v>176.5333333333333</v>
      </c>
    </row>
    <row r="19" spans="1:13" x14ac:dyDescent="0.25">
      <c r="A19" s="8">
        <v>54</v>
      </c>
      <c r="B19" s="8" t="s">
        <v>289</v>
      </c>
      <c r="C19" s="8" t="s">
        <v>301</v>
      </c>
      <c r="D19" s="8" t="s">
        <v>28</v>
      </c>
      <c r="E19" s="8" t="s">
        <v>33</v>
      </c>
      <c r="F19" s="8" t="s">
        <v>33</v>
      </c>
      <c r="G19" s="11">
        <v>0</v>
      </c>
      <c r="H19" s="11">
        <v>24.31666666666667</v>
      </c>
      <c r="I19" s="11">
        <v>2.666666666666667</v>
      </c>
      <c r="J19" s="11">
        <v>5.6833333333333336</v>
      </c>
      <c r="K19" s="11">
        <v>44.466666666666669</v>
      </c>
      <c r="L19" s="11">
        <v>32.450000000000003</v>
      </c>
      <c r="M19" s="11">
        <v>243.15</v>
      </c>
    </row>
    <row r="22" spans="1:13" ht="27.95" customHeight="1" x14ac:dyDescent="0.25">
      <c r="A22" s="55" t="s">
        <v>348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 ht="3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5" spans="1:13" ht="30" x14ac:dyDescent="0.25">
      <c r="A25" s="9" t="s">
        <v>59</v>
      </c>
      <c r="B25" s="9" t="s">
        <v>60</v>
      </c>
      <c r="C25" s="9" t="s">
        <v>292</v>
      </c>
      <c r="D25" s="9" t="s">
        <v>24</v>
      </c>
      <c r="E25" s="9" t="s">
        <v>61</v>
      </c>
      <c r="F25" s="9" t="s">
        <v>62</v>
      </c>
      <c r="G25" s="9" t="s">
        <v>293</v>
      </c>
      <c r="H25" s="9" t="s">
        <v>294</v>
      </c>
      <c r="I25" s="9" t="s">
        <v>295</v>
      </c>
      <c r="J25" s="9" t="s">
        <v>296</v>
      </c>
      <c r="K25" s="9" t="s">
        <v>297</v>
      </c>
      <c r="L25" s="9" t="s">
        <v>298</v>
      </c>
      <c r="M25" s="9" t="s">
        <v>299</v>
      </c>
    </row>
    <row r="26" spans="1:13" x14ac:dyDescent="0.25">
      <c r="A26" s="6">
        <v>42</v>
      </c>
      <c r="B26" s="6" t="s">
        <v>242</v>
      </c>
      <c r="C26" s="6" t="s">
        <v>300</v>
      </c>
      <c r="D26" s="6" t="s">
        <v>28</v>
      </c>
      <c r="E26" s="6" t="s">
        <v>33</v>
      </c>
      <c r="F26" s="6" t="s">
        <v>33</v>
      </c>
      <c r="G26" s="10">
        <v>0.1119717603069536</v>
      </c>
      <c r="H26" s="10">
        <v>8.2158448585864255E-2</v>
      </c>
      <c r="I26" s="10">
        <v>1.643615657683831E-2</v>
      </c>
      <c r="J26" s="10">
        <v>0.5125712172728395</v>
      </c>
      <c r="K26" s="10">
        <v>67.117549684267743</v>
      </c>
      <c r="L26" s="10">
        <v>56.356321664556063</v>
      </c>
      <c r="M26" s="10">
        <v>197.66418683099539</v>
      </c>
    </row>
    <row r="27" spans="1:13" x14ac:dyDescent="0.25">
      <c r="A27" s="8">
        <v>42</v>
      </c>
      <c r="B27" s="8" t="s">
        <v>242</v>
      </c>
      <c r="C27" s="8" t="s">
        <v>301</v>
      </c>
      <c r="D27" s="8" t="s">
        <v>28</v>
      </c>
      <c r="E27" s="8" t="s">
        <v>33</v>
      </c>
      <c r="F27" s="8" t="s">
        <v>33</v>
      </c>
      <c r="G27" s="11">
        <v>0</v>
      </c>
      <c r="H27" s="11">
        <v>0.47667835410688608</v>
      </c>
      <c r="I27" s="11">
        <v>1.27297174998127E-2</v>
      </c>
      <c r="J27" s="11">
        <v>0.4202840859765154</v>
      </c>
      <c r="K27" s="11">
        <v>40.651361378664021</v>
      </c>
      <c r="L27" s="11">
        <v>31.659462752029832</v>
      </c>
      <c r="M27" s="11">
        <v>249.21290311643861</v>
      </c>
    </row>
    <row r="28" spans="1:13" x14ac:dyDescent="0.25">
      <c r="A28" s="6">
        <v>48</v>
      </c>
      <c r="B28" s="6" t="s">
        <v>269</v>
      </c>
      <c r="C28" s="6" t="s">
        <v>300</v>
      </c>
      <c r="D28" s="6" t="s">
        <v>28</v>
      </c>
      <c r="E28" s="6" t="s">
        <v>33</v>
      </c>
      <c r="F28" s="6" t="s">
        <v>33</v>
      </c>
      <c r="G28" s="10">
        <v>0</v>
      </c>
      <c r="H28" s="10">
        <v>0.24021946013287521</v>
      </c>
      <c r="I28" s="10">
        <v>0.21586370090681031</v>
      </c>
      <c r="J28" s="10">
        <v>0.59801557616878198</v>
      </c>
      <c r="K28" s="10">
        <v>71.216839058001057</v>
      </c>
      <c r="L28" s="10">
        <v>57.608886510204798</v>
      </c>
      <c r="M28" s="10">
        <v>195.5190827900918</v>
      </c>
    </row>
    <row r="29" spans="1:13" x14ac:dyDescent="0.25">
      <c r="A29" s="8">
        <v>48</v>
      </c>
      <c r="B29" s="8" t="s">
        <v>269</v>
      </c>
      <c r="C29" s="8" t="s">
        <v>301</v>
      </c>
      <c r="D29" s="8" t="s">
        <v>28</v>
      </c>
      <c r="E29" s="8" t="s">
        <v>33</v>
      </c>
      <c r="F29" s="8" t="s">
        <v>33</v>
      </c>
      <c r="G29" s="11">
        <v>0</v>
      </c>
      <c r="H29" s="11">
        <v>0.45036794227206151</v>
      </c>
      <c r="I29" s="11">
        <v>6.3170939991916364E-2</v>
      </c>
      <c r="J29" s="11">
        <v>0.91605902538235162</v>
      </c>
      <c r="K29" s="11">
        <v>59.818804156881647</v>
      </c>
      <c r="L29" s="11">
        <v>44.251155441805381</v>
      </c>
      <c r="M29" s="11">
        <v>219.38476491375911</v>
      </c>
    </row>
    <row r="30" spans="1:13" x14ac:dyDescent="0.25">
      <c r="A30" s="6">
        <v>54</v>
      </c>
      <c r="B30" s="6" t="s">
        <v>289</v>
      </c>
      <c r="C30" s="6" t="s">
        <v>300</v>
      </c>
      <c r="D30" s="6" t="s">
        <v>28</v>
      </c>
      <c r="E30" s="6" t="s">
        <v>33</v>
      </c>
      <c r="F30" s="6" t="s">
        <v>33</v>
      </c>
      <c r="G30" s="10">
        <v>8.8935996553685642E-2</v>
      </c>
      <c r="H30" s="10">
        <v>0.32793162569742029</v>
      </c>
      <c r="I30" s="10">
        <v>0.10141816483241591</v>
      </c>
      <c r="J30" s="10">
        <v>0.57665162648251256</v>
      </c>
      <c r="K30" s="10">
        <v>63.630851515328487</v>
      </c>
      <c r="L30" s="10">
        <v>53.728638461221273</v>
      </c>
      <c r="M30" s="10">
        <v>206.0150800117203</v>
      </c>
    </row>
    <row r="31" spans="1:13" x14ac:dyDescent="0.25">
      <c r="A31" s="8">
        <v>54</v>
      </c>
      <c r="B31" s="8" t="s">
        <v>289</v>
      </c>
      <c r="C31" s="8" t="s">
        <v>301</v>
      </c>
      <c r="D31" s="8" t="s">
        <v>28</v>
      </c>
      <c r="E31" s="8" t="s">
        <v>33</v>
      </c>
      <c r="F31" s="8" t="s">
        <v>33</v>
      </c>
      <c r="G31" s="11">
        <v>0</v>
      </c>
      <c r="H31" s="11">
        <v>0.44236745429158209</v>
      </c>
      <c r="I31" s="11">
        <v>0.428265735708522</v>
      </c>
      <c r="J31" s="11">
        <v>0.51104472499002784</v>
      </c>
      <c r="K31" s="11">
        <v>36.406613940185977</v>
      </c>
      <c r="L31" s="11">
        <v>29.047822987177661</v>
      </c>
      <c r="M31" s="11">
        <v>258.19733356892652</v>
      </c>
    </row>
  </sheetData>
  <autoFilter ref="A25:M31"/>
  <mergeCells count="3">
    <mergeCell ref="A22:M22"/>
    <mergeCell ref="A1:R1"/>
    <mergeCell ref="A10:M10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7" width="22" customWidth="1"/>
    <col min="8" max="8" width="20" customWidth="1"/>
    <col min="9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349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43</v>
      </c>
      <c r="B5" s="6" t="s">
        <v>248</v>
      </c>
      <c r="C5" s="6" t="s">
        <v>44</v>
      </c>
      <c r="D5" s="6" t="s">
        <v>28</v>
      </c>
      <c r="E5" s="6" t="s">
        <v>33</v>
      </c>
      <c r="F5" s="6" t="s">
        <v>33</v>
      </c>
      <c r="G5" s="6" t="s">
        <v>243</v>
      </c>
      <c r="H5" s="6" t="s">
        <v>249</v>
      </c>
      <c r="I5" s="10">
        <v>322.17747430370082</v>
      </c>
      <c r="J5" s="10">
        <v>321.6269481176106</v>
      </c>
      <c r="K5" s="10">
        <v>446.45</v>
      </c>
      <c r="L5" s="10">
        <v>341.44238333333328</v>
      </c>
      <c r="M5" s="6" t="s">
        <v>250</v>
      </c>
      <c r="N5" s="6" t="s">
        <v>251</v>
      </c>
      <c r="O5" s="6" t="s">
        <v>252</v>
      </c>
      <c r="P5" s="6" t="s">
        <v>253</v>
      </c>
      <c r="Q5" s="10">
        <v>64.4401967523076</v>
      </c>
      <c r="R5" s="10">
        <v>64.281452951025713</v>
      </c>
    </row>
    <row r="6" spans="1:18" x14ac:dyDescent="0.25">
      <c r="A6" s="8">
        <v>44</v>
      </c>
      <c r="B6" s="8" t="s">
        <v>254</v>
      </c>
      <c r="C6" s="8" t="s">
        <v>44</v>
      </c>
      <c r="D6" s="8" t="s">
        <v>28</v>
      </c>
      <c r="E6" s="8" t="s">
        <v>33</v>
      </c>
      <c r="F6" s="8" t="s">
        <v>33</v>
      </c>
      <c r="G6" s="8" t="s">
        <v>249</v>
      </c>
      <c r="H6" s="8" t="s">
        <v>243</v>
      </c>
      <c r="I6" s="11">
        <v>324.42978832438968</v>
      </c>
      <c r="J6" s="11">
        <v>325.03506672854411</v>
      </c>
      <c r="K6" s="11">
        <v>408.62676666666658</v>
      </c>
      <c r="L6" s="11">
        <v>325.26549999999997</v>
      </c>
      <c r="M6" s="8" t="s">
        <v>255</v>
      </c>
      <c r="N6" s="8" t="s">
        <v>256</v>
      </c>
      <c r="O6" s="8" t="s">
        <v>257</v>
      </c>
      <c r="P6" s="8" t="s">
        <v>258</v>
      </c>
      <c r="Q6" s="11">
        <v>62.280657722390274</v>
      </c>
      <c r="R6" s="11">
        <v>63.759140657029413</v>
      </c>
    </row>
    <row r="7" spans="1:18" x14ac:dyDescent="0.25">
      <c r="A7" s="6">
        <v>45</v>
      </c>
      <c r="B7" s="6" t="s">
        <v>259</v>
      </c>
      <c r="C7" s="6" t="s">
        <v>44</v>
      </c>
      <c r="D7" s="6" t="s">
        <v>28</v>
      </c>
      <c r="E7" s="6" t="s">
        <v>33</v>
      </c>
      <c r="F7" s="6" t="s">
        <v>33</v>
      </c>
      <c r="G7" s="6" t="s">
        <v>243</v>
      </c>
      <c r="H7" s="6" t="s">
        <v>260</v>
      </c>
      <c r="I7" s="10">
        <v>322.27359408346013</v>
      </c>
      <c r="J7" s="10">
        <v>322.64698261892221</v>
      </c>
      <c r="K7" s="10">
        <v>446.45</v>
      </c>
      <c r="L7" s="10">
        <v>349.42598333333342</v>
      </c>
      <c r="M7" s="6" t="s">
        <v>250</v>
      </c>
      <c r="N7" s="6" t="s">
        <v>251</v>
      </c>
      <c r="O7" s="6" t="s">
        <v>261</v>
      </c>
      <c r="P7" s="6" t="s">
        <v>262</v>
      </c>
      <c r="Q7" s="10">
        <v>64.459443162404568</v>
      </c>
      <c r="R7" s="10">
        <v>59.875837357006112</v>
      </c>
    </row>
    <row r="8" spans="1:18" x14ac:dyDescent="0.25">
      <c r="A8" s="8">
        <v>46</v>
      </c>
      <c r="B8" s="8" t="s">
        <v>263</v>
      </c>
      <c r="C8" s="8" t="s">
        <v>44</v>
      </c>
      <c r="D8" s="8" t="s">
        <v>28</v>
      </c>
      <c r="E8" s="8" t="s">
        <v>33</v>
      </c>
      <c r="F8" s="8" t="s">
        <v>33</v>
      </c>
      <c r="G8" s="8" t="s">
        <v>260</v>
      </c>
      <c r="H8" s="8" t="s">
        <v>243</v>
      </c>
      <c r="I8" s="11">
        <v>324.93502838087829</v>
      </c>
      <c r="J8" s="11">
        <v>325.72634804024972</v>
      </c>
      <c r="K8" s="11">
        <v>394.6350333333333</v>
      </c>
      <c r="L8" s="11">
        <v>329.75</v>
      </c>
      <c r="M8" s="8" t="s">
        <v>264</v>
      </c>
      <c r="N8" s="8" t="s">
        <v>265</v>
      </c>
      <c r="O8" s="8" t="s">
        <v>246</v>
      </c>
      <c r="P8" s="8" t="s">
        <v>258</v>
      </c>
      <c r="Q8" s="11">
        <v>64.174151856789692</v>
      </c>
      <c r="R8" s="11">
        <v>63.702556250659107</v>
      </c>
    </row>
    <row r="9" spans="1:18" x14ac:dyDescent="0.25">
      <c r="A9" s="6">
        <v>49</v>
      </c>
      <c r="B9" s="6" t="s">
        <v>273</v>
      </c>
      <c r="C9" s="6" t="s">
        <v>44</v>
      </c>
      <c r="D9" s="6" t="s">
        <v>28</v>
      </c>
      <c r="E9" s="6" t="s">
        <v>33</v>
      </c>
      <c r="F9" s="6" t="s">
        <v>33</v>
      </c>
      <c r="G9" s="6" t="s">
        <v>249</v>
      </c>
      <c r="H9" s="6" t="s">
        <v>260</v>
      </c>
      <c r="I9" s="10">
        <v>323.75364208554902</v>
      </c>
      <c r="J9" s="10">
        <v>324.12513972731608</v>
      </c>
      <c r="K9" s="10">
        <v>407.74795</v>
      </c>
      <c r="L9" s="10">
        <v>346.04665</v>
      </c>
      <c r="M9" s="6" t="s">
        <v>255</v>
      </c>
      <c r="N9" s="6" t="s">
        <v>274</v>
      </c>
      <c r="O9" s="6" t="s">
        <v>275</v>
      </c>
      <c r="P9" s="6" t="s">
        <v>276</v>
      </c>
      <c r="Q9" s="10">
        <v>62.32616891116043</v>
      </c>
      <c r="R9" s="10">
        <v>60.09883681712126</v>
      </c>
    </row>
    <row r="10" spans="1:18" x14ac:dyDescent="0.25">
      <c r="A10" s="8">
        <v>50</v>
      </c>
      <c r="B10" s="8" t="s">
        <v>277</v>
      </c>
      <c r="C10" s="8" t="s">
        <v>44</v>
      </c>
      <c r="D10" s="8" t="s">
        <v>28</v>
      </c>
      <c r="E10" s="8" t="s">
        <v>33</v>
      </c>
      <c r="F10" s="8" t="s">
        <v>33</v>
      </c>
      <c r="G10" s="8" t="s">
        <v>260</v>
      </c>
      <c r="H10" s="8" t="s">
        <v>249</v>
      </c>
      <c r="I10" s="11">
        <v>326.46596224309337</v>
      </c>
      <c r="J10" s="11">
        <v>326.13414239444489</v>
      </c>
      <c r="K10" s="11">
        <v>420.64665000000002</v>
      </c>
      <c r="L10" s="11">
        <v>351.75</v>
      </c>
      <c r="M10" s="8" t="s">
        <v>278</v>
      </c>
      <c r="N10" s="8" t="s">
        <v>279</v>
      </c>
      <c r="O10" s="8" t="s">
        <v>252</v>
      </c>
      <c r="P10" s="8" t="s">
        <v>280</v>
      </c>
      <c r="Q10" s="11">
        <v>63.924179776882589</v>
      </c>
      <c r="R10" s="11">
        <v>63.016566640353268</v>
      </c>
    </row>
    <row r="13" spans="1:18" ht="27.95" customHeight="1" x14ac:dyDescent="0.25">
      <c r="A13" s="55" t="s">
        <v>350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spans="1:18" ht="3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6" spans="1:18" ht="30" x14ac:dyDescent="0.25">
      <c r="A16" s="9" t="s">
        <v>59</v>
      </c>
      <c r="B16" s="9" t="s">
        <v>60</v>
      </c>
      <c r="C16" s="9" t="s">
        <v>292</v>
      </c>
      <c r="D16" s="9" t="s">
        <v>24</v>
      </c>
      <c r="E16" s="9" t="s">
        <v>61</v>
      </c>
      <c r="F16" s="9" t="s">
        <v>62</v>
      </c>
      <c r="G16" s="9" t="s">
        <v>293</v>
      </c>
      <c r="H16" s="9" t="s">
        <v>294</v>
      </c>
      <c r="I16" s="9" t="s">
        <v>295</v>
      </c>
      <c r="J16" s="9" t="s">
        <v>296</v>
      </c>
      <c r="K16" s="9" t="s">
        <v>297</v>
      </c>
      <c r="L16" s="9" t="s">
        <v>298</v>
      </c>
      <c r="M16" s="9" t="s">
        <v>299</v>
      </c>
    </row>
    <row r="17" spans="1:13" x14ac:dyDescent="0.25">
      <c r="A17" s="6">
        <v>43</v>
      </c>
      <c r="B17" s="6" t="s">
        <v>248</v>
      </c>
      <c r="C17" s="6" t="s">
        <v>300</v>
      </c>
      <c r="D17" s="6" t="s">
        <v>28</v>
      </c>
      <c r="E17" s="6" t="s">
        <v>33</v>
      </c>
      <c r="F17" s="6" t="s">
        <v>33</v>
      </c>
      <c r="G17" s="10">
        <v>63.2</v>
      </c>
      <c r="H17" s="10">
        <v>51.31666666666667</v>
      </c>
      <c r="I17" s="10">
        <v>32.283333333333331</v>
      </c>
      <c r="J17" s="10">
        <v>7.7166666666666668</v>
      </c>
      <c r="K17" s="10">
        <v>69.400000000000006</v>
      </c>
      <c r="L17" s="10">
        <v>57.93333333333333</v>
      </c>
      <c r="M17" s="10">
        <v>164.6</v>
      </c>
    </row>
    <row r="18" spans="1:13" x14ac:dyDescent="0.25">
      <c r="A18" s="8">
        <v>43</v>
      </c>
      <c r="B18" s="8" t="s">
        <v>248</v>
      </c>
      <c r="C18" s="8" t="s">
        <v>301</v>
      </c>
      <c r="D18" s="8" t="s">
        <v>28</v>
      </c>
      <c r="E18" s="8" t="s">
        <v>33</v>
      </c>
      <c r="F18" s="8" t="s">
        <v>33</v>
      </c>
      <c r="G18" s="11">
        <v>0</v>
      </c>
      <c r="H18" s="11">
        <v>35.4</v>
      </c>
      <c r="I18" s="11">
        <v>6.3166666666666664</v>
      </c>
      <c r="J18" s="11">
        <v>10.016666666666669</v>
      </c>
      <c r="K18" s="11">
        <v>63.383333333333333</v>
      </c>
      <c r="L18" s="11">
        <v>44.56666666666667</v>
      </c>
      <c r="M18" s="11">
        <v>181.75905</v>
      </c>
    </row>
    <row r="19" spans="1:13" x14ac:dyDescent="0.25">
      <c r="A19" s="6">
        <v>44</v>
      </c>
      <c r="B19" s="6" t="s">
        <v>254</v>
      </c>
      <c r="C19" s="6" t="s">
        <v>300</v>
      </c>
      <c r="D19" s="6" t="s">
        <v>28</v>
      </c>
      <c r="E19" s="6" t="s">
        <v>33</v>
      </c>
      <c r="F19" s="6" t="s">
        <v>33</v>
      </c>
      <c r="G19" s="10">
        <v>0</v>
      </c>
      <c r="H19" s="10">
        <v>65.983333333333334</v>
      </c>
      <c r="I19" s="10">
        <v>30.533333333333331</v>
      </c>
      <c r="J19" s="10">
        <v>6.3</v>
      </c>
      <c r="K19" s="10">
        <v>75.783333333333331</v>
      </c>
      <c r="L19" s="10">
        <v>59.6</v>
      </c>
      <c r="M19" s="10">
        <v>170.42676666666671</v>
      </c>
    </row>
    <row r="20" spans="1:13" x14ac:dyDescent="0.25">
      <c r="A20" s="8">
        <v>44</v>
      </c>
      <c r="B20" s="8" t="s">
        <v>254</v>
      </c>
      <c r="C20" s="8" t="s">
        <v>301</v>
      </c>
      <c r="D20" s="8" t="s">
        <v>28</v>
      </c>
      <c r="E20" s="8" t="s">
        <v>33</v>
      </c>
      <c r="F20" s="8" t="s">
        <v>33</v>
      </c>
      <c r="G20" s="11">
        <v>0</v>
      </c>
      <c r="H20" s="11">
        <v>16.899999999999999</v>
      </c>
      <c r="I20" s="11">
        <v>2.833333333333333</v>
      </c>
      <c r="J20" s="11">
        <v>4</v>
      </c>
      <c r="K20" s="11">
        <v>46.733333333333327</v>
      </c>
      <c r="L20" s="11">
        <v>34.783333333333331</v>
      </c>
      <c r="M20" s="11">
        <v>220.0155</v>
      </c>
    </row>
    <row r="21" spans="1:13" x14ac:dyDescent="0.25">
      <c r="A21" s="6">
        <v>45</v>
      </c>
      <c r="B21" s="6" t="s">
        <v>259</v>
      </c>
      <c r="C21" s="6" t="s">
        <v>300</v>
      </c>
      <c r="D21" s="6" t="s">
        <v>28</v>
      </c>
      <c r="E21" s="6" t="s">
        <v>33</v>
      </c>
      <c r="F21" s="6" t="s">
        <v>33</v>
      </c>
      <c r="G21" s="10">
        <v>63.2</v>
      </c>
      <c r="H21" s="10">
        <v>51.31666666666667</v>
      </c>
      <c r="I21" s="10">
        <v>32.283333333333331</v>
      </c>
      <c r="J21" s="10">
        <v>7.7166666666666668</v>
      </c>
      <c r="K21" s="10">
        <v>69.400000000000006</v>
      </c>
      <c r="L21" s="10">
        <v>57.93333333333333</v>
      </c>
      <c r="M21" s="10">
        <v>164.6</v>
      </c>
    </row>
    <row r="22" spans="1:13" x14ac:dyDescent="0.25">
      <c r="A22" s="8">
        <v>45</v>
      </c>
      <c r="B22" s="8" t="s">
        <v>259</v>
      </c>
      <c r="C22" s="8" t="s">
        <v>301</v>
      </c>
      <c r="D22" s="8" t="s">
        <v>28</v>
      </c>
      <c r="E22" s="8" t="s">
        <v>33</v>
      </c>
      <c r="F22" s="8" t="s">
        <v>33</v>
      </c>
      <c r="G22" s="11">
        <v>0</v>
      </c>
      <c r="H22" s="11">
        <v>24.31666666666667</v>
      </c>
      <c r="I22" s="11">
        <v>2.666666666666667</v>
      </c>
      <c r="J22" s="11">
        <v>5.6833333333333336</v>
      </c>
      <c r="K22" s="11">
        <v>44.133333333333333</v>
      </c>
      <c r="L22" s="11">
        <v>32.116666666666667</v>
      </c>
      <c r="M22" s="11">
        <v>240.50931666666659</v>
      </c>
    </row>
    <row r="23" spans="1:13" x14ac:dyDescent="0.25">
      <c r="A23" s="6">
        <v>46</v>
      </c>
      <c r="B23" s="6" t="s">
        <v>263</v>
      </c>
      <c r="C23" s="6" t="s">
        <v>300</v>
      </c>
      <c r="D23" s="6" t="s">
        <v>28</v>
      </c>
      <c r="E23" s="6" t="s">
        <v>33</v>
      </c>
      <c r="F23" s="6" t="s">
        <v>33</v>
      </c>
      <c r="G23" s="10">
        <v>34.833333333333343</v>
      </c>
      <c r="H23" s="10">
        <v>37.450000000000003</v>
      </c>
      <c r="I23" s="10">
        <v>18.850000000000001</v>
      </c>
      <c r="J23" s="10">
        <v>8</v>
      </c>
      <c r="K23" s="10">
        <v>64.659216666666666</v>
      </c>
      <c r="L23" s="10">
        <v>54.06666666666667</v>
      </c>
      <c r="M23" s="10">
        <v>176.77581666666671</v>
      </c>
    </row>
    <row r="24" spans="1:13" x14ac:dyDescent="0.25">
      <c r="A24" s="8">
        <v>46</v>
      </c>
      <c r="B24" s="8" t="s">
        <v>263</v>
      </c>
      <c r="C24" s="8" t="s">
        <v>301</v>
      </c>
      <c r="D24" s="8" t="s">
        <v>28</v>
      </c>
      <c r="E24" s="8" t="s">
        <v>33</v>
      </c>
      <c r="F24" s="8" t="s">
        <v>33</v>
      </c>
      <c r="G24" s="11">
        <v>0</v>
      </c>
      <c r="H24" s="11">
        <v>20.583333333333329</v>
      </c>
      <c r="I24" s="11">
        <v>2.833333333333333</v>
      </c>
      <c r="J24" s="11">
        <v>4</v>
      </c>
      <c r="K24" s="11">
        <v>46.733333333333327</v>
      </c>
      <c r="L24" s="11">
        <v>35.116666666666667</v>
      </c>
      <c r="M24" s="11">
        <v>220.48333333333329</v>
      </c>
    </row>
    <row r="25" spans="1:13" x14ac:dyDescent="0.25">
      <c r="A25" s="6">
        <v>49</v>
      </c>
      <c r="B25" s="6" t="s">
        <v>273</v>
      </c>
      <c r="C25" s="6" t="s">
        <v>300</v>
      </c>
      <c r="D25" s="6" t="s">
        <v>28</v>
      </c>
      <c r="E25" s="6" t="s">
        <v>33</v>
      </c>
      <c r="F25" s="6" t="s">
        <v>33</v>
      </c>
      <c r="G25" s="10">
        <v>0</v>
      </c>
      <c r="H25" s="10">
        <v>65.983333333333334</v>
      </c>
      <c r="I25" s="10">
        <v>30.533333333333331</v>
      </c>
      <c r="J25" s="10">
        <v>6.3</v>
      </c>
      <c r="K25" s="10">
        <v>75.514616666666669</v>
      </c>
      <c r="L25" s="10">
        <v>59.383333333333333</v>
      </c>
      <c r="M25" s="10">
        <v>170.0333333333333</v>
      </c>
    </row>
    <row r="26" spans="1:13" x14ac:dyDescent="0.25">
      <c r="A26" s="8">
        <v>49</v>
      </c>
      <c r="B26" s="8" t="s">
        <v>273</v>
      </c>
      <c r="C26" s="8" t="s">
        <v>301</v>
      </c>
      <c r="D26" s="8" t="s">
        <v>28</v>
      </c>
      <c r="E26" s="8" t="s">
        <v>33</v>
      </c>
      <c r="F26" s="8" t="s">
        <v>33</v>
      </c>
      <c r="G26" s="11">
        <v>0</v>
      </c>
      <c r="H26" s="11">
        <v>20.633333333333329</v>
      </c>
      <c r="I26" s="11">
        <v>2.666666666666667</v>
      </c>
      <c r="J26" s="11">
        <v>5.0166666666666666</v>
      </c>
      <c r="K26" s="11">
        <v>43.1</v>
      </c>
      <c r="L26" s="11">
        <v>32.116666666666667</v>
      </c>
      <c r="M26" s="11">
        <v>242.5133166666667</v>
      </c>
    </row>
    <row r="27" spans="1:13" x14ac:dyDescent="0.25">
      <c r="A27" s="6">
        <v>50</v>
      </c>
      <c r="B27" s="6" t="s">
        <v>277</v>
      </c>
      <c r="C27" s="6" t="s">
        <v>300</v>
      </c>
      <c r="D27" s="6" t="s">
        <v>28</v>
      </c>
      <c r="E27" s="6" t="s">
        <v>33</v>
      </c>
      <c r="F27" s="6" t="s">
        <v>33</v>
      </c>
      <c r="G27" s="10">
        <v>34.833333333333343</v>
      </c>
      <c r="H27" s="10">
        <v>58.166666666666657</v>
      </c>
      <c r="I27" s="10">
        <v>21.679983333333329</v>
      </c>
      <c r="J27" s="10">
        <v>8.0833333333333339</v>
      </c>
      <c r="K27" s="10">
        <v>65.966666666666669</v>
      </c>
      <c r="L27" s="10">
        <v>54.8</v>
      </c>
      <c r="M27" s="10">
        <v>177.1166666666667</v>
      </c>
    </row>
    <row r="28" spans="1:13" x14ac:dyDescent="0.25">
      <c r="A28" s="8">
        <v>50</v>
      </c>
      <c r="B28" s="8" t="s">
        <v>277</v>
      </c>
      <c r="C28" s="8" t="s">
        <v>301</v>
      </c>
      <c r="D28" s="8" t="s">
        <v>28</v>
      </c>
      <c r="E28" s="8" t="s">
        <v>33</v>
      </c>
      <c r="F28" s="8" t="s">
        <v>33</v>
      </c>
      <c r="G28" s="11">
        <v>0</v>
      </c>
      <c r="H28" s="11">
        <v>35.4</v>
      </c>
      <c r="I28" s="11">
        <v>6.3166666666666664</v>
      </c>
      <c r="J28" s="11">
        <v>10.68333333333333</v>
      </c>
      <c r="K28" s="11">
        <v>66.099999999999994</v>
      </c>
      <c r="L28" s="11">
        <v>47.533333333333331</v>
      </c>
      <c r="M28" s="11">
        <v>185.7166666666667</v>
      </c>
    </row>
    <row r="31" spans="1:13" ht="27.95" customHeight="1" x14ac:dyDescent="0.25">
      <c r="A31" s="55" t="s">
        <v>351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ht="3.9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4" spans="1:13" ht="30" x14ac:dyDescent="0.25">
      <c r="A34" s="9" t="s">
        <v>59</v>
      </c>
      <c r="B34" s="9" t="s">
        <v>60</v>
      </c>
      <c r="C34" s="9" t="s">
        <v>292</v>
      </c>
      <c r="D34" s="9" t="s">
        <v>24</v>
      </c>
      <c r="E34" s="9" t="s">
        <v>61</v>
      </c>
      <c r="F34" s="9" t="s">
        <v>62</v>
      </c>
      <c r="G34" s="9" t="s">
        <v>293</v>
      </c>
      <c r="H34" s="9" t="s">
        <v>294</v>
      </c>
      <c r="I34" s="9" t="s">
        <v>295</v>
      </c>
      <c r="J34" s="9" t="s">
        <v>296</v>
      </c>
      <c r="K34" s="9" t="s">
        <v>297</v>
      </c>
      <c r="L34" s="9" t="s">
        <v>298</v>
      </c>
      <c r="M34" s="9" t="s">
        <v>299</v>
      </c>
    </row>
    <row r="35" spans="1:13" x14ac:dyDescent="0.25">
      <c r="A35" s="6">
        <v>43</v>
      </c>
      <c r="B35" s="6" t="s">
        <v>248</v>
      </c>
      <c r="C35" s="6" t="s">
        <v>300</v>
      </c>
      <c r="D35" s="6" t="s">
        <v>28</v>
      </c>
      <c r="E35" s="6" t="s">
        <v>33</v>
      </c>
      <c r="F35" s="6" t="s">
        <v>33</v>
      </c>
      <c r="G35" s="10">
        <v>0.1119717603069536</v>
      </c>
      <c r="H35" s="10">
        <v>0.2137910036648912</v>
      </c>
      <c r="I35" s="10">
        <v>2.66289259127734E-2</v>
      </c>
      <c r="J35" s="10">
        <v>0.53192012036127867</v>
      </c>
      <c r="K35" s="10">
        <v>67.235218047696108</v>
      </c>
      <c r="L35" s="10">
        <v>56.319756834393488</v>
      </c>
      <c r="M35" s="10">
        <v>197.7381876113653</v>
      </c>
    </row>
    <row r="36" spans="1:13" x14ac:dyDescent="0.25">
      <c r="A36" s="8">
        <v>43</v>
      </c>
      <c r="B36" s="8" t="s">
        <v>248</v>
      </c>
      <c r="C36" s="8" t="s">
        <v>301</v>
      </c>
      <c r="D36" s="8" t="s">
        <v>28</v>
      </c>
      <c r="E36" s="8" t="s">
        <v>33</v>
      </c>
      <c r="F36" s="8" t="s">
        <v>33</v>
      </c>
      <c r="G36" s="11">
        <v>0</v>
      </c>
      <c r="H36" s="11">
        <v>0.45036794227206151</v>
      </c>
      <c r="I36" s="11">
        <v>6.3170939991916364E-2</v>
      </c>
      <c r="J36" s="11">
        <v>0.89965978323865836</v>
      </c>
      <c r="K36" s="11">
        <v>58.376029715565082</v>
      </c>
      <c r="L36" s="11">
        <v>42.972091125409762</v>
      </c>
      <c r="M36" s="11">
        <v>218.8656286111331</v>
      </c>
    </row>
    <row r="37" spans="1:13" x14ac:dyDescent="0.25">
      <c r="A37" s="6">
        <v>44</v>
      </c>
      <c r="B37" s="6" t="s">
        <v>254</v>
      </c>
      <c r="C37" s="6" t="s">
        <v>300</v>
      </c>
      <c r="D37" s="6" t="s">
        <v>28</v>
      </c>
      <c r="E37" s="6" t="s">
        <v>33</v>
      </c>
      <c r="F37" s="6" t="s">
        <v>33</v>
      </c>
      <c r="G37" s="10">
        <v>0</v>
      </c>
      <c r="H37" s="10">
        <v>0.24021946013287521</v>
      </c>
      <c r="I37" s="10">
        <v>0.21586370090681031</v>
      </c>
      <c r="J37" s="10">
        <v>0.59248667710547542</v>
      </c>
      <c r="K37" s="10">
        <v>70.970852140693879</v>
      </c>
      <c r="L37" s="10">
        <v>57.389927718761932</v>
      </c>
      <c r="M37" s="10">
        <v>195.02043862678869</v>
      </c>
    </row>
    <row r="38" spans="1:13" x14ac:dyDescent="0.25">
      <c r="A38" s="8">
        <v>44</v>
      </c>
      <c r="B38" s="8" t="s">
        <v>254</v>
      </c>
      <c r="C38" s="8" t="s">
        <v>301</v>
      </c>
      <c r="D38" s="8" t="s">
        <v>28</v>
      </c>
      <c r="E38" s="8" t="s">
        <v>33</v>
      </c>
      <c r="F38" s="8" t="s">
        <v>33</v>
      </c>
      <c r="G38" s="11">
        <v>0</v>
      </c>
      <c r="H38" s="11">
        <v>0.34786384859507741</v>
      </c>
      <c r="I38" s="11">
        <v>1.27297174998127E-2</v>
      </c>
      <c r="J38" s="11">
        <v>0.4202840859765154</v>
      </c>
      <c r="K38" s="11">
        <v>41.502099869045793</v>
      </c>
      <c r="L38" s="11">
        <v>32.234391519954421</v>
      </c>
      <c r="M38" s="11">
        <v>250.51769768747249</v>
      </c>
    </row>
    <row r="39" spans="1:13" x14ac:dyDescent="0.25">
      <c r="A39" s="6">
        <v>45</v>
      </c>
      <c r="B39" s="6" t="s">
        <v>259</v>
      </c>
      <c r="C39" s="6" t="s">
        <v>300</v>
      </c>
      <c r="D39" s="6" t="s">
        <v>28</v>
      </c>
      <c r="E39" s="6" t="s">
        <v>33</v>
      </c>
      <c r="F39" s="6" t="s">
        <v>33</v>
      </c>
      <c r="G39" s="10">
        <v>0.1119717603069536</v>
      </c>
      <c r="H39" s="10">
        <v>0.2137910036648912</v>
      </c>
      <c r="I39" s="10">
        <v>2.66289259127734E-2</v>
      </c>
      <c r="J39" s="10">
        <v>0.56215733478846408</v>
      </c>
      <c r="K39" s="10">
        <v>67.301100613028154</v>
      </c>
      <c r="L39" s="10">
        <v>56.319756834393488</v>
      </c>
      <c r="M39" s="10">
        <v>197.7381876113653</v>
      </c>
    </row>
    <row r="40" spans="1:13" x14ac:dyDescent="0.25">
      <c r="A40" s="8">
        <v>45</v>
      </c>
      <c r="B40" s="8" t="s">
        <v>259</v>
      </c>
      <c r="C40" s="8" t="s">
        <v>301</v>
      </c>
      <c r="D40" s="8" t="s">
        <v>28</v>
      </c>
      <c r="E40" s="8" t="s">
        <v>33</v>
      </c>
      <c r="F40" s="8" t="s">
        <v>33</v>
      </c>
      <c r="G40" s="11">
        <v>0</v>
      </c>
      <c r="H40" s="11">
        <v>0.44332241051292248</v>
      </c>
      <c r="I40" s="11">
        <v>0.428265735708522</v>
      </c>
      <c r="J40" s="11">
        <v>0.51104472499002784</v>
      </c>
      <c r="K40" s="11">
        <v>36.197264170490961</v>
      </c>
      <c r="L40" s="11">
        <v>28.879561718426849</v>
      </c>
      <c r="M40" s="11">
        <v>256.18752385879287</v>
      </c>
    </row>
    <row r="41" spans="1:13" x14ac:dyDescent="0.25">
      <c r="A41" s="6">
        <v>46</v>
      </c>
      <c r="B41" s="6" t="s">
        <v>263</v>
      </c>
      <c r="C41" s="6" t="s">
        <v>300</v>
      </c>
      <c r="D41" s="6" t="s">
        <v>28</v>
      </c>
      <c r="E41" s="6" t="s">
        <v>33</v>
      </c>
      <c r="F41" s="6" t="s">
        <v>33</v>
      </c>
      <c r="G41" s="10">
        <v>8.8935996553685642E-2</v>
      </c>
      <c r="H41" s="10">
        <v>0.1794253337608642</v>
      </c>
      <c r="I41" s="10">
        <v>5.059730733317578E-2</v>
      </c>
      <c r="J41" s="10">
        <v>0.57665162648251256</v>
      </c>
      <c r="K41" s="10">
        <v>63.807175975714962</v>
      </c>
      <c r="L41" s="10">
        <v>54.004262033049137</v>
      </c>
      <c r="M41" s="10">
        <v>206.22798010798391</v>
      </c>
    </row>
    <row r="42" spans="1:13" x14ac:dyDescent="0.25">
      <c r="A42" s="8">
        <v>46</v>
      </c>
      <c r="B42" s="8" t="s">
        <v>263</v>
      </c>
      <c r="C42" s="8" t="s">
        <v>301</v>
      </c>
      <c r="D42" s="8" t="s">
        <v>28</v>
      </c>
      <c r="E42" s="8" t="s">
        <v>33</v>
      </c>
      <c r="F42" s="8" t="s">
        <v>33</v>
      </c>
      <c r="G42" s="11">
        <v>0</v>
      </c>
      <c r="H42" s="11">
        <v>0.47667835410688608</v>
      </c>
      <c r="I42" s="11">
        <v>1.27297174998127E-2</v>
      </c>
      <c r="J42" s="11">
        <v>0.4202840859765154</v>
      </c>
      <c r="K42" s="11">
        <v>41.502099869045793</v>
      </c>
      <c r="L42" s="11">
        <v>32.504544856726113</v>
      </c>
      <c r="M42" s="11">
        <v>250.81001115689449</v>
      </c>
    </row>
    <row r="43" spans="1:13" x14ac:dyDescent="0.25">
      <c r="A43" s="6">
        <v>49</v>
      </c>
      <c r="B43" s="6" t="s">
        <v>273</v>
      </c>
      <c r="C43" s="6" t="s">
        <v>300</v>
      </c>
      <c r="D43" s="6" t="s">
        <v>28</v>
      </c>
      <c r="E43" s="6" t="s">
        <v>33</v>
      </c>
      <c r="F43" s="6" t="s">
        <v>33</v>
      </c>
      <c r="G43" s="10">
        <v>0</v>
      </c>
      <c r="H43" s="10">
        <v>0.24021946013287521</v>
      </c>
      <c r="I43" s="10">
        <v>0.21586370090681031</v>
      </c>
      <c r="J43" s="10">
        <v>0.59248667710547542</v>
      </c>
      <c r="K43" s="10">
        <v>70.784207486832642</v>
      </c>
      <c r="L43" s="10">
        <v>57.217170971545229</v>
      </c>
      <c r="M43" s="10">
        <v>194.703693789026</v>
      </c>
    </row>
    <row r="44" spans="1:13" x14ac:dyDescent="0.25">
      <c r="A44" s="8">
        <v>49</v>
      </c>
      <c r="B44" s="8" t="s">
        <v>273</v>
      </c>
      <c r="C44" s="8" t="s">
        <v>301</v>
      </c>
      <c r="D44" s="8" t="s">
        <v>28</v>
      </c>
      <c r="E44" s="8" t="s">
        <v>33</v>
      </c>
      <c r="F44" s="8" t="s">
        <v>33</v>
      </c>
      <c r="G44" s="11">
        <v>0</v>
      </c>
      <c r="H44" s="11">
        <v>0.4185697978984132</v>
      </c>
      <c r="I44" s="11">
        <v>0.428265735708522</v>
      </c>
      <c r="J44" s="11">
        <v>0.46660244135921242</v>
      </c>
      <c r="K44" s="11">
        <v>35.974181316756393</v>
      </c>
      <c r="L44" s="11">
        <v>28.82664857731616</v>
      </c>
      <c r="M44" s="11">
        <v>258.01087185827743</v>
      </c>
    </row>
    <row r="45" spans="1:13" x14ac:dyDescent="0.25">
      <c r="A45" s="6">
        <v>50</v>
      </c>
      <c r="B45" s="6" t="s">
        <v>277</v>
      </c>
      <c r="C45" s="6" t="s">
        <v>300</v>
      </c>
      <c r="D45" s="6" t="s">
        <v>28</v>
      </c>
      <c r="E45" s="6" t="s">
        <v>33</v>
      </c>
      <c r="F45" s="6" t="s">
        <v>33</v>
      </c>
      <c r="G45" s="10">
        <v>8.8935996553685642E-2</v>
      </c>
      <c r="H45" s="10">
        <v>0.32793162569742029</v>
      </c>
      <c r="I45" s="10">
        <v>7.129119195051567E-2</v>
      </c>
      <c r="J45" s="10">
        <v>0.58798551523868015</v>
      </c>
      <c r="K45" s="10">
        <v>64.436710906579819</v>
      </c>
      <c r="L45" s="10">
        <v>54.476327256366737</v>
      </c>
      <c r="M45" s="10">
        <v>206.47677975070661</v>
      </c>
    </row>
    <row r="46" spans="1:13" x14ac:dyDescent="0.25">
      <c r="A46" s="8">
        <v>50</v>
      </c>
      <c r="B46" s="8" t="s">
        <v>277</v>
      </c>
      <c r="C46" s="8" t="s">
        <v>301</v>
      </c>
      <c r="D46" s="8" t="s">
        <v>28</v>
      </c>
      <c r="E46" s="8" t="s">
        <v>33</v>
      </c>
      <c r="F46" s="8" t="s">
        <v>33</v>
      </c>
      <c r="G46" s="11">
        <v>0</v>
      </c>
      <c r="H46" s="11">
        <v>0.45036794227206151</v>
      </c>
      <c r="I46" s="11">
        <v>6.3170939991916364E-2</v>
      </c>
      <c r="J46" s="11">
        <v>0.93014040423638877</v>
      </c>
      <c r="K46" s="11">
        <v>59.921886497585753</v>
      </c>
      <c r="L46" s="11">
        <v>44.514803191227927</v>
      </c>
      <c r="M46" s="11">
        <v>220.25377341913091</v>
      </c>
    </row>
  </sheetData>
  <autoFilter ref="A34:M46"/>
  <mergeCells count="3">
    <mergeCell ref="A13:M13"/>
    <mergeCell ref="A31:M31"/>
    <mergeCell ref="A1:R1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7" width="22" customWidth="1"/>
    <col min="8" max="8" width="20" customWidth="1"/>
    <col min="9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352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3</v>
      </c>
      <c r="B5" s="6" t="s">
        <v>87</v>
      </c>
      <c r="C5" s="6" t="s">
        <v>44</v>
      </c>
      <c r="D5" s="6" t="s">
        <v>28</v>
      </c>
      <c r="E5" s="6" t="s">
        <v>35</v>
      </c>
      <c r="F5" s="6" t="s">
        <v>88</v>
      </c>
      <c r="G5" s="6" t="s">
        <v>89</v>
      </c>
      <c r="H5" s="6" t="s">
        <v>90</v>
      </c>
      <c r="I5" s="10">
        <v>320.33950971072761</v>
      </c>
      <c r="J5" s="10">
        <v>320.68901803404901</v>
      </c>
      <c r="K5" s="10">
        <v>345.61666666666667</v>
      </c>
      <c r="L5" s="10">
        <v>358.39743333333331</v>
      </c>
      <c r="M5" s="6" t="s">
        <v>91</v>
      </c>
      <c r="N5" s="6" t="s">
        <v>92</v>
      </c>
      <c r="O5" s="6" t="s">
        <v>93</v>
      </c>
      <c r="P5" s="6" t="s">
        <v>94</v>
      </c>
      <c r="Q5" s="10">
        <v>64.616756627859615</v>
      </c>
      <c r="R5" s="10">
        <v>59.679115606607731</v>
      </c>
    </row>
    <row r="6" spans="1:18" x14ac:dyDescent="0.25">
      <c r="A6" s="8">
        <v>36</v>
      </c>
      <c r="B6" s="8" t="s">
        <v>214</v>
      </c>
      <c r="C6" s="8" t="s">
        <v>44</v>
      </c>
      <c r="D6" s="8" t="s">
        <v>28</v>
      </c>
      <c r="E6" s="8" t="s">
        <v>35</v>
      </c>
      <c r="F6" s="8" t="s">
        <v>88</v>
      </c>
      <c r="G6" s="8" t="s">
        <v>84</v>
      </c>
      <c r="H6" s="8" t="s">
        <v>90</v>
      </c>
      <c r="I6" s="11">
        <v>326.45811266430007</v>
      </c>
      <c r="J6" s="11">
        <v>326.59061742825281</v>
      </c>
      <c r="K6" s="11">
        <v>477.62115</v>
      </c>
      <c r="L6" s="11">
        <v>368.08333333333331</v>
      </c>
      <c r="M6" s="8" t="s">
        <v>215</v>
      </c>
      <c r="N6" s="8" t="s">
        <v>216</v>
      </c>
      <c r="O6" s="8" t="s">
        <v>208</v>
      </c>
      <c r="P6" s="8" t="s">
        <v>217</v>
      </c>
      <c r="Q6" s="11">
        <v>53.205170227322412</v>
      </c>
      <c r="R6" s="11">
        <v>59.004059141794428</v>
      </c>
    </row>
    <row r="9" spans="1:18" ht="27.95" customHeight="1" x14ac:dyDescent="0.25">
      <c r="A9" s="55" t="s">
        <v>353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1:18" ht="3.9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2" spans="1:18" ht="30" x14ac:dyDescent="0.25">
      <c r="A12" s="9" t="s">
        <v>59</v>
      </c>
      <c r="B12" s="9" t="s">
        <v>60</v>
      </c>
      <c r="C12" s="9" t="s">
        <v>292</v>
      </c>
      <c r="D12" s="9" t="s">
        <v>24</v>
      </c>
      <c r="E12" s="9" t="s">
        <v>61</v>
      </c>
      <c r="F12" s="9" t="s">
        <v>62</v>
      </c>
      <c r="G12" s="9" t="s">
        <v>293</v>
      </c>
      <c r="H12" s="9" t="s">
        <v>294</v>
      </c>
      <c r="I12" s="9" t="s">
        <v>295</v>
      </c>
      <c r="J12" s="9" t="s">
        <v>296</v>
      </c>
      <c r="K12" s="9" t="s">
        <v>297</v>
      </c>
      <c r="L12" s="9" t="s">
        <v>298</v>
      </c>
      <c r="M12" s="9" t="s">
        <v>299</v>
      </c>
    </row>
    <row r="13" spans="1:18" x14ac:dyDescent="0.25">
      <c r="A13" s="6">
        <v>3</v>
      </c>
      <c r="B13" s="6" t="s">
        <v>87</v>
      </c>
      <c r="C13" s="6" t="s">
        <v>300</v>
      </c>
      <c r="D13" s="6" t="s">
        <v>28</v>
      </c>
      <c r="E13" s="6" t="s">
        <v>35</v>
      </c>
      <c r="F13" s="6" t="s">
        <v>88</v>
      </c>
      <c r="G13" s="10">
        <v>38.333333333333343</v>
      </c>
      <c r="H13" s="10">
        <v>10.56666666666667</v>
      </c>
      <c r="I13" s="10">
        <v>0</v>
      </c>
      <c r="J13" s="10">
        <v>0.66666666666666663</v>
      </c>
      <c r="K13" s="10">
        <v>49.31666666666667</v>
      </c>
      <c r="L13" s="10">
        <v>44.583333333333343</v>
      </c>
      <c r="M13" s="10">
        <v>202.15</v>
      </c>
    </row>
    <row r="14" spans="1:18" x14ac:dyDescent="0.25">
      <c r="A14" s="8">
        <v>3</v>
      </c>
      <c r="B14" s="8" t="s">
        <v>87</v>
      </c>
      <c r="C14" s="8" t="s">
        <v>301</v>
      </c>
      <c r="D14" s="8" t="s">
        <v>28</v>
      </c>
      <c r="E14" s="8" t="s">
        <v>35</v>
      </c>
      <c r="F14" s="8" t="s">
        <v>88</v>
      </c>
      <c r="G14" s="11">
        <v>0</v>
      </c>
      <c r="H14" s="11">
        <v>35.983333333333327</v>
      </c>
      <c r="I14" s="11">
        <v>0.35</v>
      </c>
      <c r="J14" s="11">
        <v>4.083333333333333</v>
      </c>
      <c r="K14" s="11">
        <v>62.087049999999998</v>
      </c>
      <c r="L14" s="11">
        <v>50.533333333333331</v>
      </c>
      <c r="M14" s="11">
        <v>205.36038333333329</v>
      </c>
    </row>
    <row r="15" spans="1:18" x14ac:dyDescent="0.25">
      <c r="A15" s="6">
        <v>36</v>
      </c>
      <c r="B15" s="6" t="s">
        <v>214</v>
      </c>
      <c r="C15" s="6" t="s">
        <v>300</v>
      </c>
      <c r="D15" s="6" t="s">
        <v>28</v>
      </c>
      <c r="E15" s="6" t="s">
        <v>35</v>
      </c>
      <c r="F15" s="6" t="s">
        <v>88</v>
      </c>
      <c r="G15" s="10">
        <v>40.299999999999997</v>
      </c>
      <c r="H15" s="10">
        <v>46.846666666666671</v>
      </c>
      <c r="I15" s="10">
        <v>23.25</v>
      </c>
      <c r="J15" s="10">
        <v>14.68333333333333</v>
      </c>
      <c r="K15" s="10">
        <v>52.483333333333327</v>
      </c>
      <c r="L15" s="10">
        <v>45.116666666666667</v>
      </c>
      <c r="M15" s="10">
        <v>254.94114999999999</v>
      </c>
    </row>
    <row r="16" spans="1:18" x14ac:dyDescent="0.25">
      <c r="A16" s="8">
        <v>36</v>
      </c>
      <c r="B16" s="8" t="s">
        <v>214</v>
      </c>
      <c r="C16" s="8" t="s">
        <v>301</v>
      </c>
      <c r="D16" s="8" t="s">
        <v>28</v>
      </c>
      <c r="E16" s="8" t="s">
        <v>35</v>
      </c>
      <c r="F16" s="8" t="s">
        <v>88</v>
      </c>
      <c r="G16" s="11">
        <v>0</v>
      </c>
      <c r="H16" s="11">
        <v>35.983333333333327</v>
      </c>
      <c r="I16" s="11">
        <v>0.35</v>
      </c>
      <c r="J16" s="11">
        <v>4.166666666666667</v>
      </c>
      <c r="K16" s="11">
        <v>65.36666666666666</v>
      </c>
      <c r="L16" s="11">
        <v>52.466666666666669</v>
      </c>
      <c r="M16" s="11">
        <v>209.75</v>
      </c>
    </row>
    <row r="19" spans="1:13" ht="27.95" customHeight="1" x14ac:dyDescent="0.25">
      <c r="A19" s="55" t="s">
        <v>354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3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2" spans="1:13" ht="30" x14ac:dyDescent="0.25">
      <c r="A22" s="9" t="s">
        <v>59</v>
      </c>
      <c r="B22" s="9" t="s">
        <v>60</v>
      </c>
      <c r="C22" s="9" t="s">
        <v>292</v>
      </c>
      <c r="D22" s="9" t="s">
        <v>24</v>
      </c>
      <c r="E22" s="9" t="s">
        <v>61</v>
      </c>
      <c r="F22" s="9" t="s">
        <v>62</v>
      </c>
      <c r="G22" s="9" t="s">
        <v>293</v>
      </c>
      <c r="H22" s="9" t="s">
        <v>294</v>
      </c>
      <c r="I22" s="9" t="s">
        <v>295</v>
      </c>
      <c r="J22" s="9" t="s">
        <v>296</v>
      </c>
      <c r="K22" s="9" t="s">
        <v>297</v>
      </c>
      <c r="L22" s="9" t="s">
        <v>298</v>
      </c>
      <c r="M22" s="9" t="s">
        <v>299</v>
      </c>
    </row>
    <row r="23" spans="1:13" x14ac:dyDescent="0.25">
      <c r="A23" s="6">
        <v>3</v>
      </c>
      <c r="B23" s="6" t="s">
        <v>87</v>
      </c>
      <c r="C23" s="6" t="s">
        <v>300</v>
      </c>
      <c r="D23" s="6" t="s">
        <v>28</v>
      </c>
      <c r="E23" s="6" t="s">
        <v>35</v>
      </c>
      <c r="F23" s="6" t="s">
        <v>88</v>
      </c>
      <c r="G23" s="10">
        <v>0.32207239596471771</v>
      </c>
      <c r="H23" s="10">
        <v>0.46962669093374088</v>
      </c>
      <c r="I23" s="10">
        <v>0</v>
      </c>
      <c r="J23" s="10">
        <v>0.26467880112010561</v>
      </c>
      <c r="K23" s="10">
        <v>46.828639184274387</v>
      </c>
      <c r="L23" s="10">
        <v>41.953809708617477</v>
      </c>
      <c r="M23" s="10">
        <v>230.50068292981709</v>
      </c>
    </row>
    <row r="24" spans="1:13" x14ac:dyDescent="0.25">
      <c r="A24" s="8">
        <v>3</v>
      </c>
      <c r="B24" s="8" t="s">
        <v>87</v>
      </c>
      <c r="C24" s="8" t="s">
        <v>301</v>
      </c>
      <c r="D24" s="8" t="s">
        <v>28</v>
      </c>
      <c r="E24" s="8" t="s">
        <v>35</v>
      </c>
      <c r="F24" s="8" t="s">
        <v>88</v>
      </c>
      <c r="G24" s="11">
        <v>0</v>
      </c>
      <c r="H24" s="11">
        <v>0.34734042341449439</v>
      </c>
      <c r="I24" s="11">
        <v>0</v>
      </c>
      <c r="J24" s="11">
        <v>0.43740140315438419</v>
      </c>
      <c r="K24" s="11">
        <v>58.410381444501432</v>
      </c>
      <c r="L24" s="11">
        <v>47.464359459883809</v>
      </c>
      <c r="M24" s="11">
        <v>214.02953530309489</v>
      </c>
    </row>
    <row r="25" spans="1:13" x14ac:dyDescent="0.25">
      <c r="A25" s="6">
        <v>36</v>
      </c>
      <c r="B25" s="6" t="s">
        <v>214</v>
      </c>
      <c r="C25" s="6" t="s">
        <v>300</v>
      </c>
      <c r="D25" s="6" t="s">
        <v>28</v>
      </c>
      <c r="E25" s="6" t="s">
        <v>35</v>
      </c>
      <c r="F25" s="6" t="s">
        <v>88</v>
      </c>
      <c r="G25" s="10">
        <v>7.3400927521957676E-2</v>
      </c>
      <c r="H25" s="10">
        <v>0.70180496243028956</v>
      </c>
      <c r="I25" s="10">
        <v>4.5554317839269158E-2</v>
      </c>
      <c r="J25" s="10">
        <v>1.402436801450748</v>
      </c>
      <c r="K25" s="10">
        <v>43.073610496415832</v>
      </c>
      <c r="L25" s="10">
        <v>38.728575105778127</v>
      </c>
      <c r="M25" s="10">
        <v>242.43273005286389</v>
      </c>
    </row>
    <row r="26" spans="1:13" x14ac:dyDescent="0.25">
      <c r="A26" s="8">
        <v>36</v>
      </c>
      <c r="B26" s="8" t="s">
        <v>214</v>
      </c>
      <c r="C26" s="8" t="s">
        <v>301</v>
      </c>
      <c r="D26" s="8" t="s">
        <v>28</v>
      </c>
      <c r="E26" s="8" t="s">
        <v>35</v>
      </c>
      <c r="F26" s="8" t="s">
        <v>88</v>
      </c>
      <c r="G26" s="11">
        <v>0</v>
      </c>
      <c r="H26" s="11">
        <v>0.34734042341449439</v>
      </c>
      <c r="I26" s="11">
        <v>0</v>
      </c>
      <c r="J26" s="11">
        <v>0.45457411253170432</v>
      </c>
      <c r="K26" s="11">
        <v>60.408704745590633</v>
      </c>
      <c r="L26" s="11">
        <v>48.510694040374013</v>
      </c>
      <c r="M26" s="11">
        <v>216.86930410634201</v>
      </c>
    </row>
  </sheetData>
  <autoFilter ref="A22:M26"/>
  <mergeCells count="3">
    <mergeCell ref="A19:M19"/>
    <mergeCell ref="A1:R1"/>
    <mergeCell ref="A9:M9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3" customWidth="1"/>
    <col min="6" max="6" width="24" customWidth="1"/>
    <col min="7" max="7" width="22" customWidth="1"/>
    <col min="8" max="8" width="20" customWidth="1"/>
    <col min="9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355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11</v>
      </c>
      <c r="B5" s="6" t="s">
        <v>129</v>
      </c>
      <c r="C5" s="6" t="s">
        <v>42</v>
      </c>
      <c r="D5" s="6" t="s">
        <v>28</v>
      </c>
      <c r="E5" s="6" t="s">
        <v>29</v>
      </c>
      <c r="F5" s="6" t="s">
        <v>130</v>
      </c>
      <c r="G5" s="6" t="s">
        <v>131</v>
      </c>
      <c r="H5" s="6" t="s">
        <v>131</v>
      </c>
      <c r="I5" s="10">
        <v>143.67832745765901</v>
      </c>
      <c r="J5" s="10">
        <v>143.70610311558761</v>
      </c>
      <c r="K5" s="10">
        <v>241.37365</v>
      </c>
      <c r="L5" s="10">
        <v>241.6157666666667</v>
      </c>
      <c r="M5" s="6" t="s">
        <v>132</v>
      </c>
      <c r="N5" s="6" t="s">
        <v>133</v>
      </c>
      <c r="O5" s="6" t="s">
        <v>134</v>
      </c>
      <c r="P5" s="6" t="s">
        <v>135</v>
      </c>
      <c r="Q5" s="10">
        <v>44.633872553714347</v>
      </c>
      <c r="R5" s="10">
        <v>42.341883574137007</v>
      </c>
    </row>
    <row r="6" spans="1:18" x14ac:dyDescent="0.25">
      <c r="A6" s="8">
        <v>23</v>
      </c>
      <c r="B6" s="8" t="s">
        <v>176</v>
      </c>
      <c r="C6" s="8" t="s">
        <v>42</v>
      </c>
      <c r="D6" s="8" t="s">
        <v>28</v>
      </c>
      <c r="E6" s="8" t="s">
        <v>29</v>
      </c>
      <c r="F6" s="8" t="s">
        <v>130</v>
      </c>
      <c r="G6" s="8" t="s">
        <v>137</v>
      </c>
      <c r="H6" s="8" t="s">
        <v>137</v>
      </c>
      <c r="I6" s="11">
        <v>137.84785127876921</v>
      </c>
      <c r="J6" s="11">
        <v>137.9112374368539</v>
      </c>
      <c r="K6" s="11">
        <v>223.05115000000001</v>
      </c>
      <c r="L6" s="11">
        <v>231.8833333333333</v>
      </c>
      <c r="M6" s="8" t="s">
        <v>142</v>
      </c>
      <c r="N6" s="8" t="s">
        <v>177</v>
      </c>
      <c r="O6" s="8" t="s">
        <v>139</v>
      </c>
      <c r="P6" s="8" t="s">
        <v>140</v>
      </c>
      <c r="Q6" s="11">
        <v>43.489208200130058</v>
      </c>
      <c r="R6" s="11">
        <v>40.29129762507425</v>
      </c>
    </row>
    <row r="7" spans="1:18" x14ac:dyDescent="0.25">
      <c r="A7" s="6">
        <v>31</v>
      </c>
      <c r="B7" s="6" t="s">
        <v>198</v>
      </c>
      <c r="C7" s="6" t="s">
        <v>42</v>
      </c>
      <c r="D7" s="6" t="s">
        <v>28</v>
      </c>
      <c r="E7" s="6" t="s">
        <v>29</v>
      </c>
      <c r="F7" s="6" t="s">
        <v>130</v>
      </c>
      <c r="G7" s="6" t="s">
        <v>145</v>
      </c>
      <c r="H7" s="6" t="s">
        <v>145</v>
      </c>
      <c r="I7" s="10">
        <v>123.9926446469637</v>
      </c>
      <c r="J7" s="10">
        <v>123.9802750677086</v>
      </c>
      <c r="K7" s="10">
        <v>187.65295</v>
      </c>
      <c r="L7" s="10">
        <v>194.95840000000001</v>
      </c>
      <c r="M7" s="6" t="s">
        <v>199</v>
      </c>
      <c r="N7" s="6" t="s">
        <v>200</v>
      </c>
      <c r="O7" s="6" t="s">
        <v>148</v>
      </c>
      <c r="P7" s="6" t="s">
        <v>149</v>
      </c>
      <c r="Q7" s="10">
        <v>46.882858863668829</v>
      </c>
      <c r="R7" s="10">
        <v>42.761694453487323</v>
      </c>
    </row>
    <row r="8" spans="1:18" x14ac:dyDescent="0.25">
      <c r="A8" s="8">
        <v>52</v>
      </c>
      <c r="B8" s="8" t="s">
        <v>283</v>
      </c>
      <c r="C8" s="8" t="s">
        <v>42</v>
      </c>
      <c r="D8" s="8" t="s">
        <v>28</v>
      </c>
      <c r="E8" s="8" t="s">
        <v>29</v>
      </c>
      <c r="F8" s="8" t="s">
        <v>130</v>
      </c>
      <c r="G8" s="8" t="s">
        <v>154</v>
      </c>
      <c r="H8" s="8" t="s">
        <v>154</v>
      </c>
      <c r="I8" s="11">
        <v>151.56015677624401</v>
      </c>
      <c r="J8" s="11">
        <v>152.10930530550161</v>
      </c>
      <c r="K8" s="11">
        <v>263.95294999999999</v>
      </c>
      <c r="L8" s="11">
        <v>286.34036666666663</v>
      </c>
      <c r="M8" s="8" t="s">
        <v>284</v>
      </c>
      <c r="N8" s="8" t="s">
        <v>285</v>
      </c>
      <c r="O8" s="8" t="s">
        <v>156</v>
      </c>
      <c r="P8" s="8" t="s">
        <v>286</v>
      </c>
      <c r="Q8" s="11">
        <v>42.410120530327511</v>
      </c>
      <c r="R8" s="11">
        <v>36.293607322885208</v>
      </c>
    </row>
    <row r="11" spans="1:18" ht="27.95" customHeight="1" x14ac:dyDescent="0.25">
      <c r="A11" s="55" t="s">
        <v>356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8" ht="3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4" spans="1:18" ht="30" x14ac:dyDescent="0.25">
      <c r="A14" s="9" t="s">
        <v>59</v>
      </c>
      <c r="B14" s="9" t="s">
        <v>60</v>
      </c>
      <c r="C14" s="9" t="s">
        <v>292</v>
      </c>
      <c r="D14" s="9" t="s">
        <v>24</v>
      </c>
      <c r="E14" s="9" t="s">
        <v>61</v>
      </c>
      <c r="F14" s="9" t="s">
        <v>62</v>
      </c>
      <c r="G14" s="9" t="s">
        <v>293</v>
      </c>
      <c r="H14" s="9" t="s">
        <v>294</v>
      </c>
      <c r="I14" s="9" t="s">
        <v>295</v>
      </c>
      <c r="J14" s="9" t="s">
        <v>296</v>
      </c>
      <c r="K14" s="9" t="s">
        <v>297</v>
      </c>
      <c r="L14" s="9" t="s">
        <v>298</v>
      </c>
      <c r="M14" s="9" t="s">
        <v>299</v>
      </c>
    </row>
    <row r="15" spans="1:18" x14ac:dyDescent="0.25">
      <c r="A15" s="6">
        <v>11</v>
      </c>
      <c r="B15" s="6" t="s">
        <v>129</v>
      </c>
      <c r="C15" s="6" t="s">
        <v>300</v>
      </c>
      <c r="D15" s="6" t="s">
        <v>28</v>
      </c>
      <c r="E15" s="6" t="s">
        <v>29</v>
      </c>
      <c r="F15" s="6" t="s">
        <v>130</v>
      </c>
      <c r="G15" s="10">
        <v>0</v>
      </c>
      <c r="H15" s="10">
        <v>43.485533333333343</v>
      </c>
      <c r="I15" s="10">
        <v>7.55</v>
      </c>
      <c r="J15" s="10">
        <v>4.0999999999999996</v>
      </c>
      <c r="K15" s="10">
        <v>52.5</v>
      </c>
      <c r="L15" s="10">
        <v>37.471449999999997</v>
      </c>
      <c r="M15" s="10">
        <v>96.266666666666666</v>
      </c>
    </row>
    <row r="16" spans="1:18" x14ac:dyDescent="0.25">
      <c r="A16" s="8">
        <v>11</v>
      </c>
      <c r="B16" s="8" t="s">
        <v>129</v>
      </c>
      <c r="C16" s="8" t="s">
        <v>301</v>
      </c>
      <c r="D16" s="8" t="s">
        <v>28</v>
      </c>
      <c r="E16" s="8" t="s">
        <v>29</v>
      </c>
      <c r="F16" s="8" t="s">
        <v>130</v>
      </c>
      <c r="G16" s="11">
        <v>0</v>
      </c>
      <c r="H16" s="11">
        <v>36.983333333333327</v>
      </c>
      <c r="I16" s="11">
        <v>4.5</v>
      </c>
      <c r="J16" s="11">
        <v>1.6166666666666669</v>
      </c>
      <c r="K16" s="11">
        <v>42.43333333333333</v>
      </c>
      <c r="L16" s="11">
        <v>34.950000000000003</v>
      </c>
      <c r="M16" s="11">
        <v>121.1324333333333</v>
      </c>
    </row>
    <row r="17" spans="1:13" x14ac:dyDescent="0.25">
      <c r="A17" s="6">
        <v>23</v>
      </c>
      <c r="B17" s="6" t="s">
        <v>176</v>
      </c>
      <c r="C17" s="6" t="s">
        <v>300</v>
      </c>
      <c r="D17" s="6" t="s">
        <v>28</v>
      </c>
      <c r="E17" s="6" t="s">
        <v>29</v>
      </c>
      <c r="F17" s="6" t="s">
        <v>130</v>
      </c>
      <c r="G17" s="10">
        <v>0</v>
      </c>
      <c r="H17" s="10">
        <v>24.65</v>
      </c>
      <c r="I17" s="10">
        <v>10.13448333333333</v>
      </c>
      <c r="J17" s="10">
        <v>2.1</v>
      </c>
      <c r="K17" s="10">
        <v>53.916666666666657</v>
      </c>
      <c r="L17" s="10">
        <v>40.75</v>
      </c>
      <c r="M17" s="10">
        <v>91.5</v>
      </c>
    </row>
    <row r="18" spans="1:13" x14ac:dyDescent="0.25">
      <c r="A18" s="8">
        <v>23</v>
      </c>
      <c r="B18" s="8" t="s">
        <v>176</v>
      </c>
      <c r="C18" s="8" t="s">
        <v>301</v>
      </c>
      <c r="D18" s="8" t="s">
        <v>28</v>
      </c>
      <c r="E18" s="8" t="s">
        <v>29</v>
      </c>
      <c r="F18" s="8" t="s">
        <v>130</v>
      </c>
      <c r="G18" s="11">
        <v>0</v>
      </c>
      <c r="H18" s="11">
        <v>23.716666666666669</v>
      </c>
      <c r="I18" s="11">
        <v>4.4333333333333336</v>
      </c>
      <c r="J18" s="11">
        <v>9.5500000000000007</v>
      </c>
      <c r="K18" s="11">
        <v>50.65</v>
      </c>
      <c r="L18" s="11">
        <v>34.233333333333327</v>
      </c>
      <c r="M18" s="11">
        <v>109.3</v>
      </c>
    </row>
    <row r="19" spans="1:13" x14ac:dyDescent="0.25">
      <c r="A19" s="6">
        <v>31</v>
      </c>
      <c r="B19" s="6" t="s">
        <v>198</v>
      </c>
      <c r="C19" s="6" t="s">
        <v>300</v>
      </c>
      <c r="D19" s="6" t="s">
        <v>28</v>
      </c>
      <c r="E19" s="6" t="s">
        <v>29</v>
      </c>
      <c r="F19" s="6" t="s">
        <v>130</v>
      </c>
      <c r="G19" s="10">
        <v>0</v>
      </c>
      <c r="H19" s="10">
        <v>29.483333333333331</v>
      </c>
      <c r="I19" s="10">
        <v>0.1105833333333333</v>
      </c>
      <c r="J19" s="10">
        <v>5.2666666666666666</v>
      </c>
      <c r="K19" s="10">
        <v>45.483333333333327</v>
      </c>
      <c r="L19" s="10">
        <v>28.733333333333331</v>
      </c>
      <c r="M19" s="10">
        <v>78.575700000000012</v>
      </c>
    </row>
    <row r="20" spans="1:13" x14ac:dyDescent="0.25">
      <c r="A20" s="8">
        <v>31</v>
      </c>
      <c r="B20" s="8" t="s">
        <v>198</v>
      </c>
      <c r="C20" s="8" t="s">
        <v>301</v>
      </c>
      <c r="D20" s="8" t="s">
        <v>28</v>
      </c>
      <c r="E20" s="8" t="s">
        <v>29</v>
      </c>
      <c r="F20" s="8" t="s">
        <v>130</v>
      </c>
      <c r="G20" s="11">
        <v>0</v>
      </c>
      <c r="H20" s="11">
        <v>21.383333333333329</v>
      </c>
      <c r="I20" s="11">
        <v>1</v>
      </c>
      <c r="J20" s="11">
        <v>0</v>
      </c>
      <c r="K20" s="11">
        <v>39.18333333333333</v>
      </c>
      <c r="L20" s="11">
        <v>30.466666666666669</v>
      </c>
      <c r="M20" s="11">
        <v>102.92506666666669</v>
      </c>
    </row>
    <row r="21" spans="1:13" x14ac:dyDescent="0.25">
      <c r="A21" s="6">
        <v>52</v>
      </c>
      <c r="B21" s="6" t="s">
        <v>283</v>
      </c>
      <c r="C21" s="6" t="s">
        <v>300</v>
      </c>
      <c r="D21" s="6" t="s">
        <v>28</v>
      </c>
      <c r="E21" s="6" t="s">
        <v>29</v>
      </c>
      <c r="F21" s="6" t="s">
        <v>130</v>
      </c>
      <c r="G21" s="10">
        <v>0</v>
      </c>
      <c r="H21" s="10">
        <v>35.1</v>
      </c>
      <c r="I21" s="10">
        <v>15.116666666666671</v>
      </c>
      <c r="J21" s="10">
        <v>6.6</v>
      </c>
      <c r="K21" s="10">
        <v>73.302949999999996</v>
      </c>
      <c r="L21" s="10">
        <v>55.483333333333327</v>
      </c>
      <c r="M21" s="10">
        <v>78.349999999999994</v>
      </c>
    </row>
    <row r="22" spans="1:13" x14ac:dyDescent="0.25">
      <c r="A22" s="8">
        <v>52</v>
      </c>
      <c r="B22" s="8" t="s">
        <v>283</v>
      </c>
      <c r="C22" s="8" t="s">
        <v>301</v>
      </c>
      <c r="D22" s="8" t="s">
        <v>28</v>
      </c>
      <c r="E22" s="8" t="s">
        <v>29</v>
      </c>
      <c r="F22" s="8" t="s">
        <v>130</v>
      </c>
      <c r="G22" s="11">
        <v>0</v>
      </c>
      <c r="H22" s="11">
        <v>26.333333333333329</v>
      </c>
      <c r="I22" s="11">
        <v>10.016666666666669</v>
      </c>
      <c r="J22" s="11">
        <v>14.15</v>
      </c>
      <c r="K22" s="11">
        <v>51.266666666666673</v>
      </c>
      <c r="L22" s="11">
        <v>41.040366666666657</v>
      </c>
      <c r="M22" s="11">
        <v>143.5333333333333</v>
      </c>
    </row>
    <row r="25" spans="1:13" ht="27.95" customHeight="1" x14ac:dyDescent="0.25">
      <c r="A25" s="55" t="s">
        <v>357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</row>
    <row r="26" spans="1:13" ht="3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8" spans="1:13" ht="30" x14ac:dyDescent="0.25">
      <c r="A28" s="9" t="s">
        <v>59</v>
      </c>
      <c r="B28" s="9" t="s">
        <v>60</v>
      </c>
      <c r="C28" s="9" t="s">
        <v>292</v>
      </c>
      <c r="D28" s="9" t="s">
        <v>24</v>
      </c>
      <c r="E28" s="9" t="s">
        <v>61</v>
      </c>
      <c r="F28" s="9" t="s">
        <v>62</v>
      </c>
      <c r="G28" s="9" t="s">
        <v>293</v>
      </c>
      <c r="H28" s="9" t="s">
        <v>294</v>
      </c>
      <c r="I28" s="9" t="s">
        <v>295</v>
      </c>
      <c r="J28" s="9" t="s">
        <v>296</v>
      </c>
      <c r="K28" s="9" t="s">
        <v>297</v>
      </c>
      <c r="L28" s="9" t="s">
        <v>298</v>
      </c>
      <c r="M28" s="9" t="s">
        <v>299</v>
      </c>
    </row>
    <row r="29" spans="1:13" x14ac:dyDescent="0.25">
      <c r="A29" s="6">
        <v>11</v>
      </c>
      <c r="B29" s="6" t="s">
        <v>129</v>
      </c>
      <c r="C29" s="6" t="s">
        <v>300</v>
      </c>
      <c r="D29" s="6" t="s">
        <v>28</v>
      </c>
      <c r="E29" s="6" t="s">
        <v>29</v>
      </c>
      <c r="F29" s="6" t="s">
        <v>130</v>
      </c>
      <c r="G29" s="10">
        <v>0</v>
      </c>
      <c r="H29" s="10">
        <v>1.3321013582624259</v>
      </c>
      <c r="I29" s="10">
        <v>0.75410540916294477</v>
      </c>
      <c r="J29" s="10">
        <v>0.43943113160824449</v>
      </c>
      <c r="K29" s="10">
        <v>42.768056236857731</v>
      </c>
      <c r="L29" s="10">
        <v>29.775024172432051</v>
      </c>
      <c r="M29" s="10">
        <v>68.609609149335569</v>
      </c>
    </row>
    <row r="30" spans="1:13" x14ac:dyDescent="0.25">
      <c r="A30" s="8">
        <v>11</v>
      </c>
      <c r="B30" s="8" t="s">
        <v>129</v>
      </c>
      <c r="C30" s="8" t="s">
        <v>301</v>
      </c>
      <c r="D30" s="8" t="s">
        <v>28</v>
      </c>
      <c r="E30" s="8" t="s">
        <v>29</v>
      </c>
      <c r="F30" s="8" t="s">
        <v>130</v>
      </c>
      <c r="G30" s="11">
        <v>0</v>
      </c>
      <c r="H30" s="11">
        <v>0.43407803900839542</v>
      </c>
      <c r="I30" s="11">
        <v>2.0389552164336071</v>
      </c>
      <c r="J30" s="11">
        <v>0.27011205530314503</v>
      </c>
      <c r="K30" s="11">
        <v>30.597979144685119</v>
      </c>
      <c r="L30" s="11">
        <v>25.113544257186629</v>
      </c>
      <c r="M30" s="11">
        <v>85.251434402970759</v>
      </c>
    </row>
    <row r="31" spans="1:13" x14ac:dyDescent="0.25">
      <c r="A31" s="6">
        <v>23</v>
      </c>
      <c r="B31" s="6" t="s">
        <v>176</v>
      </c>
      <c r="C31" s="6" t="s">
        <v>300</v>
      </c>
      <c r="D31" s="6" t="s">
        <v>28</v>
      </c>
      <c r="E31" s="6" t="s">
        <v>29</v>
      </c>
      <c r="F31" s="6" t="s">
        <v>130</v>
      </c>
      <c r="G31" s="10">
        <v>0</v>
      </c>
      <c r="H31" s="10">
        <v>0.34290254186703961</v>
      </c>
      <c r="I31" s="10">
        <v>1.0454776733830049</v>
      </c>
      <c r="J31" s="10">
        <v>0.40432001006129498</v>
      </c>
      <c r="K31" s="10">
        <v>41.471081570571563</v>
      </c>
      <c r="L31" s="10">
        <v>30.614880435193118</v>
      </c>
      <c r="M31" s="10">
        <v>63.969189047693213</v>
      </c>
    </row>
    <row r="32" spans="1:13" x14ac:dyDescent="0.25">
      <c r="A32" s="8">
        <v>23</v>
      </c>
      <c r="B32" s="8" t="s">
        <v>176</v>
      </c>
      <c r="C32" s="8" t="s">
        <v>301</v>
      </c>
      <c r="D32" s="8" t="s">
        <v>28</v>
      </c>
      <c r="E32" s="8" t="s">
        <v>29</v>
      </c>
      <c r="F32" s="8" t="s">
        <v>130</v>
      </c>
      <c r="G32" s="11">
        <v>0</v>
      </c>
      <c r="H32" s="11">
        <v>0.11699904226004509</v>
      </c>
      <c r="I32" s="11">
        <v>0.98289890323061291</v>
      </c>
      <c r="J32" s="11">
        <v>0.76496157447860036</v>
      </c>
      <c r="K32" s="11">
        <v>36.712209444916184</v>
      </c>
      <c r="L32" s="11">
        <v>25.040527354235781</v>
      </c>
      <c r="M32" s="11">
        <v>74.293641117732662</v>
      </c>
    </row>
    <row r="33" spans="1:13" x14ac:dyDescent="0.25">
      <c r="A33" s="6">
        <v>31</v>
      </c>
      <c r="B33" s="6" t="s">
        <v>198</v>
      </c>
      <c r="C33" s="6" t="s">
        <v>300</v>
      </c>
      <c r="D33" s="6" t="s">
        <v>28</v>
      </c>
      <c r="E33" s="6" t="s">
        <v>29</v>
      </c>
      <c r="F33" s="6" t="s">
        <v>130</v>
      </c>
      <c r="G33" s="10">
        <v>0</v>
      </c>
      <c r="H33" s="10">
        <v>0.42983924609536989</v>
      </c>
      <c r="I33" s="10">
        <v>5.8482869291778893E-2</v>
      </c>
      <c r="J33" s="10">
        <v>0.35482326921949731</v>
      </c>
      <c r="K33" s="10">
        <v>37.109061687706358</v>
      </c>
      <c r="L33" s="10">
        <v>23.384143051110669</v>
      </c>
      <c r="M33" s="10">
        <v>62.656294523540041</v>
      </c>
    </row>
    <row r="34" spans="1:13" x14ac:dyDescent="0.25">
      <c r="A34" s="8">
        <v>31</v>
      </c>
      <c r="B34" s="8" t="s">
        <v>198</v>
      </c>
      <c r="C34" s="8" t="s">
        <v>301</v>
      </c>
      <c r="D34" s="8" t="s">
        <v>28</v>
      </c>
      <c r="E34" s="8" t="s">
        <v>29</v>
      </c>
      <c r="F34" s="8" t="s">
        <v>130</v>
      </c>
      <c r="G34" s="11">
        <v>0</v>
      </c>
      <c r="H34" s="11">
        <v>0.1090721560237224</v>
      </c>
      <c r="I34" s="11">
        <v>0.87783172684814326</v>
      </c>
      <c r="J34" s="11">
        <v>0</v>
      </c>
      <c r="K34" s="11">
        <v>28.213201619757211</v>
      </c>
      <c r="L34" s="11">
        <v>20.93633895165053</v>
      </c>
      <c r="M34" s="11">
        <v>73.843830613428992</v>
      </c>
    </row>
    <row r="35" spans="1:13" x14ac:dyDescent="0.25">
      <c r="A35" s="6">
        <v>52</v>
      </c>
      <c r="B35" s="6" t="s">
        <v>283</v>
      </c>
      <c r="C35" s="6" t="s">
        <v>300</v>
      </c>
      <c r="D35" s="6" t="s">
        <v>28</v>
      </c>
      <c r="E35" s="6" t="s">
        <v>29</v>
      </c>
      <c r="F35" s="6" t="s">
        <v>130</v>
      </c>
      <c r="G35" s="10">
        <v>0</v>
      </c>
      <c r="H35" s="10">
        <v>0.1862366457606098</v>
      </c>
      <c r="I35" s="10">
        <v>0.29756116596851101</v>
      </c>
      <c r="J35" s="10">
        <v>1.4208131798353429</v>
      </c>
      <c r="K35" s="10">
        <v>52.756028546138587</v>
      </c>
      <c r="L35" s="10">
        <v>37.953041680685587</v>
      </c>
      <c r="M35" s="10">
        <v>58.946475557855408</v>
      </c>
    </row>
    <row r="36" spans="1:13" x14ac:dyDescent="0.25">
      <c r="A36" s="8">
        <v>52</v>
      </c>
      <c r="B36" s="8" t="s">
        <v>283</v>
      </c>
      <c r="C36" s="8" t="s">
        <v>301</v>
      </c>
      <c r="D36" s="8" t="s">
        <v>28</v>
      </c>
      <c r="E36" s="8" t="s">
        <v>29</v>
      </c>
      <c r="F36" s="8" t="s">
        <v>130</v>
      </c>
      <c r="G36" s="11">
        <v>0</v>
      </c>
      <c r="H36" s="11">
        <v>0.36612590067079281</v>
      </c>
      <c r="I36" s="11">
        <v>0.5256426997626461</v>
      </c>
      <c r="J36" s="11">
        <v>1.2052897532145439</v>
      </c>
      <c r="K36" s="11">
        <v>29.795163922103889</v>
      </c>
      <c r="L36" s="11">
        <v>24.547360757977579</v>
      </c>
      <c r="M36" s="11">
        <v>95.669722271772159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3" customWidth="1"/>
    <col min="6" max="6" width="24" customWidth="1"/>
    <col min="7" max="7" width="22" customWidth="1"/>
    <col min="8" max="8" width="21" customWidth="1"/>
    <col min="9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358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12</v>
      </c>
      <c r="B5" s="6" t="s">
        <v>136</v>
      </c>
      <c r="C5" s="6" t="s">
        <v>44</v>
      </c>
      <c r="D5" s="6" t="s">
        <v>28</v>
      </c>
      <c r="E5" s="6" t="s">
        <v>29</v>
      </c>
      <c r="F5" s="6" t="s">
        <v>130</v>
      </c>
      <c r="G5" s="6" t="s">
        <v>131</v>
      </c>
      <c r="H5" s="6" t="s">
        <v>137</v>
      </c>
      <c r="I5" s="10">
        <v>136.6906978560236</v>
      </c>
      <c r="J5" s="10">
        <v>137.9070606846193</v>
      </c>
      <c r="K5" s="10">
        <v>199.88373333333331</v>
      </c>
      <c r="L5" s="10">
        <v>231.8833333333333</v>
      </c>
      <c r="M5" s="6" t="s">
        <v>132</v>
      </c>
      <c r="N5" s="6" t="s">
        <v>138</v>
      </c>
      <c r="O5" s="6" t="s">
        <v>139</v>
      </c>
      <c r="P5" s="6" t="s">
        <v>140</v>
      </c>
      <c r="Q5" s="10">
        <v>48.732283159784458</v>
      </c>
      <c r="R5" s="10">
        <v>40.295521200628478</v>
      </c>
    </row>
    <row r="6" spans="1:18" x14ac:dyDescent="0.25">
      <c r="A6" s="8">
        <v>13</v>
      </c>
      <c r="B6" s="8" t="s">
        <v>141</v>
      </c>
      <c r="C6" s="8" t="s">
        <v>44</v>
      </c>
      <c r="D6" s="8" t="s">
        <v>28</v>
      </c>
      <c r="E6" s="8" t="s">
        <v>29</v>
      </c>
      <c r="F6" s="8" t="s">
        <v>130</v>
      </c>
      <c r="G6" s="8" t="s">
        <v>137</v>
      </c>
      <c r="H6" s="8" t="s">
        <v>131</v>
      </c>
      <c r="I6" s="11">
        <v>144.86907862959839</v>
      </c>
      <c r="J6" s="11">
        <v>143.72466993648419</v>
      </c>
      <c r="K6" s="11">
        <v>251.7108833333333</v>
      </c>
      <c r="L6" s="11">
        <v>241.6157666666667</v>
      </c>
      <c r="M6" s="8" t="s">
        <v>142</v>
      </c>
      <c r="N6" s="8" t="s">
        <v>143</v>
      </c>
      <c r="O6" s="8" t="s">
        <v>134</v>
      </c>
      <c r="P6" s="8" t="s">
        <v>135</v>
      </c>
      <c r="Q6" s="11">
        <v>40.963129251036513</v>
      </c>
      <c r="R6" s="11">
        <v>42.341899372018943</v>
      </c>
    </row>
    <row r="7" spans="1:18" x14ac:dyDescent="0.25">
      <c r="A7" s="6">
        <v>14</v>
      </c>
      <c r="B7" s="6" t="s">
        <v>144</v>
      </c>
      <c r="C7" s="6" t="s">
        <v>44</v>
      </c>
      <c r="D7" s="6" t="s">
        <v>28</v>
      </c>
      <c r="E7" s="6" t="s">
        <v>29</v>
      </c>
      <c r="F7" s="6" t="s">
        <v>130</v>
      </c>
      <c r="G7" s="6" t="s">
        <v>131</v>
      </c>
      <c r="H7" s="6" t="s">
        <v>145</v>
      </c>
      <c r="I7" s="10">
        <v>123.91859568577109</v>
      </c>
      <c r="J7" s="10">
        <v>123.941936072907</v>
      </c>
      <c r="K7" s="10">
        <v>205.75388333333331</v>
      </c>
      <c r="L7" s="10">
        <v>194.95840000000001</v>
      </c>
      <c r="M7" s="6" t="s">
        <v>146</v>
      </c>
      <c r="N7" s="6" t="s">
        <v>147</v>
      </c>
      <c r="O7" s="6" t="s">
        <v>148</v>
      </c>
      <c r="P7" s="6" t="s">
        <v>149</v>
      </c>
      <c r="Q7" s="10">
        <v>44.923872976769658</v>
      </c>
      <c r="R7" s="10">
        <v>42.762032180854042</v>
      </c>
    </row>
    <row r="8" spans="1:18" x14ac:dyDescent="0.25">
      <c r="A8" s="8">
        <v>15</v>
      </c>
      <c r="B8" s="8" t="s">
        <v>150</v>
      </c>
      <c r="C8" s="8" t="s">
        <v>44</v>
      </c>
      <c r="D8" s="8" t="s">
        <v>28</v>
      </c>
      <c r="E8" s="8" t="s">
        <v>29</v>
      </c>
      <c r="F8" s="8" t="s">
        <v>130</v>
      </c>
      <c r="G8" s="8" t="s">
        <v>145</v>
      </c>
      <c r="H8" s="8" t="s">
        <v>131</v>
      </c>
      <c r="I8" s="11">
        <v>143.71555961314201</v>
      </c>
      <c r="J8" s="11">
        <v>143.70301098845081</v>
      </c>
      <c r="K8" s="11">
        <v>223.04198333333329</v>
      </c>
      <c r="L8" s="11">
        <v>241.6157666666667</v>
      </c>
      <c r="M8" s="8" t="s">
        <v>151</v>
      </c>
      <c r="N8" s="8" t="s">
        <v>152</v>
      </c>
      <c r="O8" s="8" t="s">
        <v>134</v>
      </c>
      <c r="P8" s="8" t="s">
        <v>135</v>
      </c>
      <c r="Q8" s="11">
        <v>46.2946098216972</v>
      </c>
      <c r="R8" s="11">
        <v>42.341452090744298</v>
      </c>
    </row>
    <row r="9" spans="1:18" x14ac:dyDescent="0.25">
      <c r="A9" s="6">
        <v>16</v>
      </c>
      <c r="B9" s="6" t="s">
        <v>153</v>
      </c>
      <c r="C9" s="6" t="s">
        <v>44</v>
      </c>
      <c r="D9" s="6" t="s">
        <v>28</v>
      </c>
      <c r="E9" s="6" t="s">
        <v>29</v>
      </c>
      <c r="F9" s="6" t="s">
        <v>130</v>
      </c>
      <c r="G9" s="6" t="s">
        <v>131</v>
      </c>
      <c r="H9" s="6" t="s">
        <v>154</v>
      </c>
      <c r="I9" s="10">
        <v>152.2392917821083</v>
      </c>
      <c r="J9" s="10">
        <v>153.94759024770309</v>
      </c>
      <c r="K9" s="10">
        <v>276.10219999999998</v>
      </c>
      <c r="L9" s="10">
        <v>291.35971666666671</v>
      </c>
      <c r="M9" s="6" t="s">
        <v>132</v>
      </c>
      <c r="N9" s="6" t="s">
        <v>155</v>
      </c>
      <c r="O9" s="6" t="s">
        <v>156</v>
      </c>
      <c r="P9" s="6" t="s">
        <v>157</v>
      </c>
      <c r="Q9" s="10">
        <v>40.355745492660311</v>
      </c>
      <c r="R9" s="10">
        <v>36.021923037796739</v>
      </c>
    </row>
    <row r="10" spans="1:18" x14ac:dyDescent="0.25">
      <c r="A10" s="8">
        <v>17</v>
      </c>
      <c r="B10" s="8" t="s">
        <v>158</v>
      </c>
      <c r="C10" s="8" t="s">
        <v>44</v>
      </c>
      <c r="D10" s="8" t="s">
        <v>28</v>
      </c>
      <c r="E10" s="8" t="s">
        <v>29</v>
      </c>
      <c r="F10" s="8" t="s">
        <v>130</v>
      </c>
      <c r="G10" s="8" t="s">
        <v>154</v>
      </c>
      <c r="H10" s="8" t="s">
        <v>131</v>
      </c>
      <c r="I10" s="11">
        <v>145.59876206835349</v>
      </c>
      <c r="J10" s="11">
        <v>143.81943712107361</v>
      </c>
      <c r="K10" s="11">
        <v>242.58760000000001</v>
      </c>
      <c r="L10" s="11">
        <v>242.52818333333329</v>
      </c>
      <c r="M10" s="8" t="s">
        <v>159</v>
      </c>
      <c r="N10" s="8" t="s">
        <v>160</v>
      </c>
      <c r="O10" s="8" t="s">
        <v>134</v>
      </c>
      <c r="P10" s="8" t="s">
        <v>161</v>
      </c>
      <c r="Q10" s="11">
        <v>44.70287136285296</v>
      </c>
      <c r="R10" s="11">
        <v>42.185773980476462</v>
      </c>
    </row>
    <row r="11" spans="1:18" x14ac:dyDescent="0.25">
      <c r="A11" s="6">
        <v>24</v>
      </c>
      <c r="B11" s="6" t="s">
        <v>178</v>
      </c>
      <c r="C11" s="6" t="s">
        <v>44</v>
      </c>
      <c r="D11" s="6" t="s">
        <v>28</v>
      </c>
      <c r="E11" s="6" t="s">
        <v>29</v>
      </c>
      <c r="F11" s="6" t="s">
        <v>130</v>
      </c>
      <c r="G11" s="6" t="s">
        <v>137</v>
      </c>
      <c r="H11" s="6" t="s">
        <v>145</v>
      </c>
      <c r="I11" s="10">
        <v>125.021511754306</v>
      </c>
      <c r="J11" s="10">
        <v>123.8871365945718</v>
      </c>
      <c r="K11" s="10">
        <v>207.13586666666669</v>
      </c>
      <c r="L11" s="10">
        <v>194.5326</v>
      </c>
      <c r="M11" s="6" t="s">
        <v>179</v>
      </c>
      <c r="N11" s="6" t="s">
        <v>143</v>
      </c>
      <c r="O11" s="6" t="s">
        <v>148</v>
      </c>
      <c r="P11" s="6" t="s">
        <v>180</v>
      </c>
      <c r="Q11" s="10">
        <v>41.521588856960847</v>
      </c>
      <c r="R11" s="10">
        <v>42.835212207537772</v>
      </c>
    </row>
    <row r="12" spans="1:18" x14ac:dyDescent="0.25">
      <c r="A12" s="8">
        <v>25</v>
      </c>
      <c r="B12" s="8" t="s">
        <v>181</v>
      </c>
      <c r="C12" s="8" t="s">
        <v>44</v>
      </c>
      <c r="D12" s="8" t="s">
        <v>28</v>
      </c>
      <c r="E12" s="8" t="s">
        <v>29</v>
      </c>
      <c r="F12" s="8" t="s">
        <v>130</v>
      </c>
      <c r="G12" s="8" t="s">
        <v>145</v>
      </c>
      <c r="H12" s="8" t="s">
        <v>137</v>
      </c>
      <c r="I12" s="11">
        <v>136.71688857972779</v>
      </c>
      <c r="J12" s="11">
        <v>137.90825458617789</v>
      </c>
      <c r="K12" s="11">
        <v>189.99105</v>
      </c>
      <c r="L12" s="11">
        <v>231.8833333333333</v>
      </c>
      <c r="M12" s="8" t="s">
        <v>151</v>
      </c>
      <c r="N12" s="8" t="s">
        <v>182</v>
      </c>
      <c r="O12" s="8" t="s">
        <v>139</v>
      </c>
      <c r="P12" s="8" t="s">
        <v>140</v>
      </c>
      <c r="Q12" s="11">
        <v>50.214719327104461</v>
      </c>
      <c r="R12" s="11">
        <v>40.296367138208907</v>
      </c>
    </row>
    <row r="13" spans="1:18" x14ac:dyDescent="0.25">
      <c r="A13" s="6">
        <v>26</v>
      </c>
      <c r="B13" s="6" t="s">
        <v>183</v>
      </c>
      <c r="C13" s="6" t="s">
        <v>44</v>
      </c>
      <c r="D13" s="6" t="s">
        <v>28</v>
      </c>
      <c r="E13" s="6" t="s">
        <v>29</v>
      </c>
      <c r="F13" s="6" t="s">
        <v>130</v>
      </c>
      <c r="G13" s="6" t="s">
        <v>137</v>
      </c>
      <c r="H13" s="6" t="s">
        <v>154</v>
      </c>
      <c r="I13" s="10">
        <v>153.3729275658394</v>
      </c>
      <c r="J13" s="10">
        <v>154.06343517645311</v>
      </c>
      <c r="K13" s="10">
        <v>281.08690000000001</v>
      </c>
      <c r="L13" s="10">
        <v>291.75</v>
      </c>
      <c r="M13" s="6" t="s">
        <v>142</v>
      </c>
      <c r="N13" s="6" t="s">
        <v>184</v>
      </c>
      <c r="O13" s="6" t="s">
        <v>156</v>
      </c>
      <c r="P13" s="6" t="s">
        <v>185</v>
      </c>
      <c r="Q13" s="10">
        <v>38.128965801600678</v>
      </c>
      <c r="R13" s="10">
        <v>35.989741808256568</v>
      </c>
    </row>
    <row r="14" spans="1:18" x14ac:dyDescent="0.25">
      <c r="A14" s="8">
        <v>27</v>
      </c>
      <c r="B14" s="8" t="s">
        <v>186</v>
      </c>
      <c r="C14" s="8" t="s">
        <v>44</v>
      </c>
      <c r="D14" s="8" t="s">
        <v>28</v>
      </c>
      <c r="E14" s="8" t="s">
        <v>29</v>
      </c>
      <c r="F14" s="8" t="s">
        <v>130</v>
      </c>
      <c r="G14" s="8" t="s">
        <v>154</v>
      </c>
      <c r="H14" s="8" t="s">
        <v>137</v>
      </c>
      <c r="I14" s="11">
        <v>138.2944646000696</v>
      </c>
      <c r="J14" s="11">
        <v>137.8693466671948</v>
      </c>
      <c r="K14" s="11">
        <v>219.90880000000001</v>
      </c>
      <c r="L14" s="11">
        <v>231.8833333333333</v>
      </c>
      <c r="M14" s="8" t="s">
        <v>159</v>
      </c>
      <c r="N14" s="8" t="s">
        <v>187</v>
      </c>
      <c r="O14" s="8" t="s">
        <v>139</v>
      </c>
      <c r="P14" s="8" t="s">
        <v>140</v>
      </c>
      <c r="Q14" s="11">
        <v>46.483728760311841</v>
      </c>
      <c r="R14" s="11">
        <v>40.286623077903108</v>
      </c>
    </row>
    <row r="15" spans="1:18" x14ac:dyDescent="0.25">
      <c r="A15" s="6">
        <v>34</v>
      </c>
      <c r="B15" s="6" t="s">
        <v>210</v>
      </c>
      <c r="C15" s="6" t="s">
        <v>44</v>
      </c>
      <c r="D15" s="6" t="s">
        <v>28</v>
      </c>
      <c r="E15" s="6" t="s">
        <v>29</v>
      </c>
      <c r="F15" s="6" t="s">
        <v>130</v>
      </c>
      <c r="G15" s="6" t="s">
        <v>145</v>
      </c>
      <c r="H15" s="6" t="s">
        <v>154</v>
      </c>
      <c r="I15" s="10">
        <v>152.39467948024659</v>
      </c>
      <c r="J15" s="10">
        <v>154.03235985141359</v>
      </c>
      <c r="K15" s="10">
        <v>252.84703333333329</v>
      </c>
      <c r="L15" s="10">
        <v>291.75</v>
      </c>
      <c r="M15" s="6" t="s">
        <v>151</v>
      </c>
      <c r="N15" s="6" t="s">
        <v>211</v>
      </c>
      <c r="O15" s="6" t="s">
        <v>156</v>
      </c>
      <c r="P15" s="6" t="s">
        <v>185</v>
      </c>
      <c r="Q15" s="10">
        <v>42.287934939916333</v>
      </c>
      <c r="R15" s="10">
        <v>35.987183332600232</v>
      </c>
    </row>
    <row r="16" spans="1:18" x14ac:dyDescent="0.25">
      <c r="A16" s="8">
        <v>35</v>
      </c>
      <c r="B16" s="8" t="s">
        <v>212</v>
      </c>
      <c r="C16" s="8" t="s">
        <v>44</v>
      </c>
      <c r="D16" s="8" t="s">
        <v>28</v>
      </c>
      <c r="E16" s="8" t="s">
        <v>29</v>
      </c>
      <c r="F16" s="8" t="s">
        <v>130</v>
      </c>
      <c r="G16" s="8" t="s">
        <v>154</v>
      </c>
      <c r="H16" s="8" t="s">
        <v>145</v>
      </c>
      <c r="I16" s="11">
        <v>125.7416693023907</v>
      </c>
      <c r="J16" s="11">
        <v>123.9823800042885</v>
      </c>
      <c r="K16" s="11">
        <v>194.9381166666667</v>
      </c>
      <c r="L16" s="11">
        <v>194.95840000000001</v>
      </c>
      <c r="M16" s="8" t="s">
        <v>213</v>
      </c>
      <c r="N16" s="8" t="s">
        <v>160</v>
      </c>
      <c r="O16" s="8" t="s">
        <v>148</v>
      </c>
      <c r="P16" s="8" t="s">
        <v>149</v>
      </c>
      <c r="Q16" s="11">
        <v>45.475102570591687</v>
      </c>
      <c r="R16" s="11">
        <v>42.768923453873597</v>
      </c>
    </row>
    <row r="19" spans="1:13" ht="27.95" customHeight="1" x14ac:dyDescent="0.25">
      <c r="A19" s="55" t="s">
        <v>359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3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2" spans="1:13" ht="30" x14ac:dyDescent="0.25">
      <c r="A22" s="9" t="s">
        <v>59</v>
      </c>
      <c r="B22" s="9" t="s">
        <v>60</v>
      </c>
      <c r="C22" s="9" t="s">
        <v>292</v>
      </c>
      <c r="D22" s="9" t="s">
        <v>24</v>
      </c>
      <c r="E22" s="9" t="s">
        <v>61</v>
      </c>
      <c r="F22" s="9" t="s">
        <v>62</v>
      </c>
      <c r="G22" s="9" t="s">
        <v>293</v>
      </c>
      <c r="H22" s="9" t="s">
        <v>294</v>
      </c>
      <c r="I22" s="9" t="s">
        <v>295</v>
      </c>
      <c r="J22" s="9" t="s">
        <v>296</v>
      </c>
      <c r="K22" s="9" t="s">
        <v>297</v>
      </c>
      <c r="L22" s="9" t="s">
        <v>298</v>
      </c>
      <c r="M22" s="9" t="s">
        <v>299</v>
      </c>
    </row>
    <row r="23" spans="1:13" x14ac:dyDescent="0.25">
      <c r="A23" s="6">
        <v>12</v>
      </c>
      <c r="B23" s="6" t="s">
        <v>136</v>
      </c>
      <c r="C23" s="6" t="s">
        <v>300</v>
      </c>
      <c r="D23" s="6" t="s">
        <v>28</v>
      </c>
      <c r="E23" s="6" t="s">
        <v>29</v>
      </c>
      <c r="F23" s="6" t="s">
        <v>130</v>
      </c>
      <c r="G23" s="10">
        <v>0</v>
      </c>
      <c r="H23" s="10">
        <v>26.368866666666669</v>
      </c>
      <c r="I23" s="10">
        <v>7.3148666666666662</v>
      </c>
      <c r="J23" s="10">
        <v>0</v>
      </c>
      <c r="K23" s="10">
        <v>48.733333333333327</v>
      </c>
      <c r="L23" s="10">
        <v>36.266666666666673</v>
      </c>
      <c r="M23" s="10">
        <v>81.2</v>
      </c>
    </row>
    <row r="24" spans="1:13" x14ac:dyDescent="0.25">
      <c r="A24" s="8">
        <v>12</v>
      </c>
      <c r="B24" s="8" t="s">
        <v>136</v>
      </c>
      <c r="C24" s="8" t="s">
        <v>301</v>
      </c>
      <c r="D24" s="8" t="s">
        <v>28</v>
      </c>
      <c r="E24" s="8" t="s">
        <v>29</v>
      </c>
      <c r="F24" s="8" t="s">
        <v>130</v>
      </c>
      <c r="G24" s="11">
        <v>0</v>
      </c>
      <c r="H24" s="11">
        <v>23.716666666666669</v>
      </c>
      <c r="I24" s="11">
        <v>4.4333333333333336</v>
      </c>
      <c r="J24" s="11">
        <v>9.5500000000000007</v>
      </c>
      <c r="K24" s="11">
        <v>50.65</v>
      </c>
      <c r="L24" s="11">
        <v>34.233333333333327</v>
      </c>
      <c r="M24" s="11">
        <v>109.3</v>
      </c>
    </row>
    <row r="25" spans="1:13" x14ac:dyDescent="0.25">
      <c r="A25" s="6">
        <v>13</v>
      </c>
      <c r="B25" s="6" t="s">
        <v>141</v>
      </c>
      <c r="C25" s="6" t="s">
        <v>300</v>
      </c>
      <c r="D25" s="6" t="s">
        <v>28</v>
      </c>
      <c r="E25" s="6" t="s">
        <v>29</v>
      </c>
      <c r="F25" s="6" t="s">
        <v>130</v>
      </c>
      <c r="G25" s="10">
        <v>0</v>
      </c>
      <c r="H25" s="10">
        <v>32.85</v>
      </c>
      <c r="I25" s="10">
        <v>9.1368999999999989</v>
      </c>
      <c r="J25" s="10">
        <v>5.6833333333333336</v>
      </c>
      <c r="K25" s="10">
        <v>57.616666666666667</v>
      </c>
      <c r="L25" s="10">
        <v>44.190649999999998</v>
      </c>
      <c r="M25" s="10">
        <v>102.23333333333331</v>
      </c>
    </row>
    <row r="26" spans="1:13" x14ac:dyDescent="0.25">
      <c r="A26" s="8">
        <v>13</v>
      </c>
      <c r="B26" s="8" t="s">
        <v>141</v>
      </c>
      <c r="C26" s="8" t="s">
        <v>301</v>
      </c>
      <c r="D26" s="8" t="s">
        <v>28</v>
      </c>
      <c r="E26" s="8" t="s">
        <v>29</v>
      </c>
      <c r="F26" s="8" t="s">
        <v>130</v>
      </c>
      <c r="G26" s="11">
        <v>0</v>
      </c>
      <c r="H26" s="11">
        <v>36.983333333333327</v>
      </c>
      <c r="I26" s="11">
        <v>4.5</v>
      </c>
      <c r="J26" s="11">
        <v>1.6166666666666669</v>
      </c>
      <c r="K26" s="11">
        <v>42.43333333333333</v>
      </c>
      <c r="L26" s="11">
        <v>34.950000000000003</v>
      </c>
      <c r="M26" s="11">
        <v>121.1324333333333</v>
      </c>
    </row>
    <row r="27" spans="1:13" x14ac:dyDescent="0.25">
      <c r="A27" s="6">
        <v>14</v>
      </c>
      <c r="B27" s="6" t="s">
        <v>144</v>
      </c>
      <c r="C27" s="6" t="s">
        <v>300</v>
      </c>
      <c r="D27" s="6" t="s">
        <v>28</v>
      </c>
      <c r="E27" s="6" t="s">
        <v>29</v>
      </c>
      <c r="F27" s="6" t="s">
        <v>130</v>
      </c>
      <c r="G27" s="10">
        <v>0</v>
      </c>
      <c r="H27" s="10">
        <v>35.5</v>
      </c>
      <c r="I27" s="10">
        <v>6.9833333333333334</v>
      </c>
      <c r="J27" s="10">
        <v>4.0999999999999996</v>
      </c>
      <c r="K27" s="10">
        <v>44.283333333333331</v>
      </c>
      <c r="L27" s="10">
        <v>31.216666666666669</v>
      </c>
      <c r="M27" s="10">
        <v>83.670550000000006</v>
      </c>
    </row>
    <row r="28" spans="1:13" x14ac:dyDescent="0.25">
      <c r="A28" s="8">
        <v>14</v>
      </c>
      <c r="B28" s="8" t="s">
        <v>144</v>
      </c>
      <c r="C28" s="8" t="s">
        <v>301</v>
      </c>
      <c r="D28" s="8" t="s">
        <v>28</v>
      </c>
      <c r="E28" s="8" t="s">
        <v>29</v>
      </c>
      <c r="F28" s="8" t="s">
        <v>130</v>
      </c>
      <c r="G28" s="11">
        <v>0</v>
      </c>
      <c r="H28" s="11">
        <v>21.383333333333329</v>
      </c>
      <c r="I28" s="11">
        <v>1</v>
      </c>
      <c r="J28" s="11">
        <v>0</v>
      </c>
      <c r="K28" s="11">
        <v>39.18333333333333</v>
      </c>
      <c r="L28" s="11">
        <v>30.466666666666669</v>
      </c>
      <c r="M28" s="11">
        <v>102.92506666666669</v>
      </c>
    </row>
    <row r="29" spans="1:13" x14ac:dyDescent="0.25">
      <c r="A29" s="6">
        <v>15</v>
      </c>
      <c r="B29" s="6" t="s">
        <v>150</v>
      </c>
      <c r="C29" s="6" t="s">
        <v>300</v>
      </c>
      <c r="D29" s="6" t="s">
        <v>28</v>
      </c>
      <c r="E29" s="6" t="s">
        <v>29</v>
      </c>
      <c r="F29" s="6" t="s">
        <v>130</v>
      </c>
      <c r="G29" s="10">
        <v>0</v>
      </c>
      <c r="H29" s="10">
        <v>34.497033333333327</v>
      </c>
      <c r="I29" s="10">
        <v>3.6833333333333331</v>
      </c>
      <c r="J29" s="10">
        <v>5.2666666666666666</v>
      </c>
      <c r="K29" s="10">
        <v>54.2</v>
      </c>
      <c r="L29" s="10">
        <v>34.928283333333333</v>
      </c>
      <c r="M29" s="10">
        <v>90.466666666666669</v>
      </c>
    </row>
    <row r="30" spans="1:13" x14ac:dyDescent="0.25">
      <c r="A30" s="8">
        <v>15</v>
      </c>
      <c r="B30" s="8" t="s">
        <v>150</v>
      </c>
      <c r="C30" s="8" t="s">
        <v>301</v>
      </c>
      <c r="D30" s="8" t="s">
        <v>28</v>
      </c>
      <c r="E30" s="8" t="s">
        <v>29</v>
      </c>
      <c r="F30" s="8" t="s">
        <v>130</v>
      </c>
      <c r="G30" s="11">
        <v>0</v>
      </c>
      <c r="H30" s="11">
        <v>36.983333333333327</v>
      </c>
      <c r="I30" s="11">
        <v>4.5</v>
      </c>
      <c r="J30" s="11">
        <v>1.6166666666666669</v>
      </c>
      <c r="K30" s="11">
        <v>42.43333333333333</v>
      </c>
      <c r="L30" s="11">
        <v>34.950000000000003</v>
      </c>
      <c r="M30" s="11">
        <v>121.1324333333333</v>
      </c>
    </row>
    <row r="31" spans="1:13" x14ac:dyDescent="0.25">
      <c r="A31" s="6">
        <v>16</v>
      </c>
      <c r="B31" s="6" t="s">
        <v>153</v>
      </c>
      <c r="C31" s="6" t="s">
        <v>300</v>
      </c>
      <c r="D31" s="6" t="s">
        <v>28</v>
      </c>
      <c r="E31" s="6" t="s">
        <v>29</v>
      </c>
      <c r="F31" s="6" t="s">
        <v>130</v>
      </c>
      <c r="G31" s="10">
        <v>0</v>
      </c>
      <c r="H31" s="10">
        <v>43.485533333333343</v>
      </c>
      <c r="I31" s="10">
        <v>9.5500000000000007</v>
      </c>
      <c r="J31" s="10">
        <v>6.7833333333333332</v>
      </c>
      <c r="K31" s="10">
        <v>55.4</v>
      </c>
      <c r="L31" s="10">
        <v>40.216666666666669</v>
      </c>
      <c r="M31" s="10">
        <v>120.6666666666667</v>
      </c>
    </row>
    <row r="32" spans="1:13" x14ac:dyDescent="0.25">
      <c r="A32" s="8">
        <v>16</v>
      </c>
      <c r="B32" s="8" t="s">
        <v>153</v>
      </c>
      <c r="C32" s="8" t="s">
        <v>301</v>
      </c>
      <c r="D32" s="8" t="s">
        <v>28</v>
      </c>
      <c r="E32" s="8" t="s">
        <v>29</v>
      </c>
      <c r="F32" s="8" t="s">
        <v>130</v>
      </c>
      <c r="G32" s="11">
        <v>0</v>
      </c>
      <c r="H32" s="11">
        <v>26.333333333333329</v>
      </c>
      <c r="I32" s="11">
        <v>10.016666666666669</v>
      </c>
      <c r="J32" s="11">
        <v>14.483333333333331</v>
      </c>
      <c r="K32" s="11">
        <v>52.6</v>
      </c>
      <c r="L32" s="11">
        <v>41.9</v>
      </c>
      <c r="M32" s="11">
        <v>146.02638333333331</v>
      </c>
    </row>
    <row r="33" spans="1:13" x14ac:dyDescent="0.25">
      <c r="A33" s="6">
        <v>17</v>
      </c>
      <c r="B33" s="6" t="s">
        <v>158</v>
      </c>
      <c r="C33" s="6" t="s">
        <v>300</v>
      </c>
      <c r="D33" s="6" t="s">
        <v>28</v>
      </c>
      <c r="E33" s="6" t="s">
        <v>29</v>
      </c>
      <c r="F33" s="6" t="s">
        <v>130</v>
      </c>
      <c r="G33" s="10">
        <v>0</v>
      </c>
      <c r="H33" s="10">
        <v>35.1</v>
      </c>
      <c r="I33" s="10">
        <v>12.7</v>
      </c>
      <c r="J33" s="10">
        <v>3.9333333333333331</v>
      </c>
      <c r="K33" s="10">
        <v>68.016666666666666</v>
      </c>
      <c r="L33" s="10">
        <v>51.253116666666664</v>
      </c>
      <c r="M33" s="10">
        <v>71.584483333333338</v>
      </c>
    </row>
    <row r="34" spans="1:13" x14ac:dyDescent="0.25">
      <c r="A34" s="8">
        <v>17</v>
      </c>
      <c r="B34" s="8" t="s">
        <v>158</v>
      </c>
      <c r="C34" s="8" t="s">
        <v>301</v>
      </c>
      <c r="D34" s="8" t="s">
        <v>28</v>
      </c>
      <c r="E34" s="8" t="s">
        <v>29</v>
      </c>
      <c r="F34" s="8" t="s">
        <v>130</v>
      </c>
      <c r="G34" s="11">
        <v>0</v>
      </c>
      <c r="H34" s="11">
        <v>36.983333333333327</v>
      </c>
      <c r="I34" s="11">
        <v>4.5</v>
      </c>
      <c r="J34" s="11">
        <v>1.6166666666666669</v>
      </c>
      <c r="K34" s="11">
        <v>42.43333333333333</v>
      </c>
      <c r="L34" s="11">
        <v>34.950000000000003</v>
      </c>
      <c r="M34" s="11">
        <v>122.04485</v>
      </c>
    </row>
    <row r="35" spans="1:13" x14ac:dyDescent="0.25">
      <c r="A35" s="6">
        <v>24</v>
      </c>
      <c r="B35" s="6" t="s">
        <v>178</v>
      </c>
      <c r="C35" s="6" t="s">
        <v>300</v>
      </c>
      <c r="D35" s="6" t="s">
        <v>28</v>
      </c>
      <c r="E35" s="6" t="s">
        <v>29</v>
      </c>
      <c r="F35" s="6" t="s">
        <v>130</v>
      </c>
      <c r="G35" s="10">
        <v>0</v>
      </c>
      <c r="H35" s="10">
        <v>26.583333333333329</v>
      </c>
      <c r="I35" s="10">
        <v>1.261883333333333</v>
      </c>
      <c r="J35" s="10">
        <v>5.35</v>
      </c>
      <c r="K35" s="10">
        <v>50.083333333333343</v>
      </c>
      <c r="L35" s="10">
        <v>38.023983333333327</v>
      </c>
      <c r="M35" s="10">
        <v>85.833333333333329</v>
      </c>
    </row>
    <row r="36" spans="1:13" x14ac:dyDescent="0.25">
      <c r="A36" s="8">
        <v>24</v>
      </c>
      <c r="B36" s="8" t="s">
        <v>178</v>
      </c>
      <c r="C36" s="8" t="s">
        <v>301</v>
      </c>
      <c r="D36" s="8" t="s">
        <v>28</v>
      </c>
      <c r="E36" s="8" t="s">
        <v>29</v>
      </c>
      <c r="F36" s="8" t="s">
        <v>130</v>
      </c>
      <c r="G36" s="11">
        <v>0</v>
      </c>
      <c r="H36" s="11">
        <v>21.383333333333329</v>
      </c>
      <c r="I36" s="11">
        <v>1</v>
      </c>
      <c r="J36" s="11">
        <v>0</v>
      </c>
      <c r="K36" s="11">
        <v>39.18333333333333</v>
      </c>
      <c r="L36" s="11">
        <v>30.466666666666669</v>
      </c>
      <c r="M36" s="11">
        <v>102.4992666666667</v>
      </c>
    </row>
    <row r="37" spans="1:13" x14ac:dyDescent="0.25">
      <c r="A37" s="6">
        <v>25</v>
      </c>
      <c r="B37" s="6" t="s">
        <v>181</v>
      </c>
      <c r="C37" s="6" t="s">
        <v>300</v>
      </c>
      <c r="D37" s="6" t="s">
        <v>28</v>
      </c>
      <c r="E37" s="6" t="s">
        <v>29</v>
      </c>
      <c r="F37" s="6" t="s">
        <v>130</v>
      </c>
      <c r="G37" s="10">
        <v>0</v>
      </c>
      <c r="H37" s="10">
        <v>23.847033333333339</v>
      </c>
      <c r="I37" s="10">
        <v>3.6833333333333331</v>
      </c>
      <c r="J37" s="10">
        <v>0.25</v>
      </c>
      <c r="K37" s="10">
        <v>50.55</v>
      </c>
      <c r="L37" s="10">
        <v>32.700000000000003</v>
      </c>
      <c r="M37" s="10">
        <v>78.960683333333321</v>
      </c>
    </row>
    <row r="38" spans="1:13" x14ac:dyDescent="0.25">
      <c r="A38" s="8">
        <v>25</v>
      </c>
      <c r="B38" s="8" t="s">
        <v>181</v>
      </c>
      <c r="C38" s="8" t="s">
        <v>301</v>
      </c>
      <c r="D38" s="8" t="s">
        <v>28</v>
      </c>
      <c r="E38" s="8" t="s">
        <v>29</v>
      </c>
      <c r="F38" s="8" t="s">
        <v>130</v>
      </c>
      <c r="G38" s="11">
        <v>0</v>
      </c>
      <c r="H38" s="11">
        <v>23.716666666666669</v>
      </c>
      <c r="I38" s="11">
        <v>4.4333333333333336</v>
      </c>
      <c r="J38" s="11">
        <v>9.5500000000000007</v>
      </c>
      <c r="K38" s="11">
        <v>50.65</v>
      </c>
      <c r="L38" s="11">
        <v>34.233333333333327</v>
      </c>
      <c r="M38" s="11">
        <v>109.3</v>
      </c>
    </row>
    <row r="39" spans="1:13" x14ac:dyDescent="0.25">
      <c r="A39" s="6">
        <v>26</v>
      </c>
      <c r="B39" s="6" t="s">
        <v>183</v>
      </c>
      <c r="C39" s="6" t="s">
        <v>300</v>
      </c>
      <c r="D39" s="6" t="s">
        <v>28</v>
      </c>
      <c r="E39" s="6" t="s">
        <v>29</v>
      </c>
      <c r="F39" s="6" t="s">
        <v>130</v>
      </c>
      <c r="G39" s="10">
        <v>0</v>
      </c>
      <c r="H39" s="10">
        <v>32.85</v>
      </c>
      <c r="I39" s="10">
        <v>9.8868999999999989</v>
      </c>
      <c r="J39" s="10">
        <v>7.9333333333333336</v>
      </c>
      <c r="K39" s="10">
        <v>61.06666666666667</v>
      </c>
      <c r="L39" s="10">
        <v>46.8</v>
      </c>
      <c r="M39" s="10">
        <v>122.55</v>
      </c>
    </row>
    <row r="40" spans="1:13" x14ac:dyDescent="0.25">
      <c r="A40" s="8">
        <v>26</v>
      </c>
      <c r="B40" s="8" t="s">
        <v>183</v>
      </c>
      <c r="C40" s="8" t="s">
        <v>301</v>
      </c>
      <c r="D40" s="8" t="s">
        <v>28</v>
      </c>
      <c r="E40" s="8" t="s">
        <v>29</v>
      </c>
      <c r="F40" s="8" t="s">
        <v>130</v>
      </c>
      <c r="G40" s="11">
        <v>0</v>
      </c>
      <c r="H40" s="11">
        <v>26.333333333333329</v>
      </c>
      <c r="I40" s="11">
        <v>10.016666666666669</v>
      </c>
      <c r="J40" s="11">
        <v>14.483333333333331</v>
      </c>
      <c r="K40" s="11">
        <v>52.6</v>
      </c>
      <c r="L40" s="11">
        <v>42.233333333333327</v>
      </c>
      <c r="M40" s="11">
        <v>146.08333333333329</v>
      </c>
    </row>
    <row r="41" spans="1:13" x14ac:dyDescent="0.25">
      <c r="A41" s="6">
        <v>27</v>
      </c>
      <c r="B41" s="6" t="s">
        <v>186</v>
      </c>
      <c r="C41" s="6" t="s">
        <v>300</v>
      </c>
      <c r="D41" s="6" t="s">
        <v>28</v>
      </c>
      <c r="E41" s="6" t="s">
        <v>29</v>
      </c>
      <c r="F41" s="6" t="s">
        <v>130</v>
      </c>
      <c r="G41" s="10">
        <v>0</v>
      </c>
      <c r="H41" s="10">
        <v>31.033333333333331</v>
      </c>
      <c r="I41" s="10">
        <v>10.96666666666667</v>
      </c>
      <c r="J41" s="10">
        <v>2.9333333333333331</v>
      </c>
      <c r="K41" s="10">
        <v>62.68333333333333</v>
      </c>
      <c r="L41" s="10">
        <v>46.940983333333328</v>
      </c>
      <c r="M41" s="10">
        <v>65.351150000000004</v>
      </c>
    </row>
    <row r="42" spans="1:13" x14ac:dyDescent="0.25">
      <c r="A42" s="8">
        <v>27</v>
      </c>
      <c r="B42" s="8" t="s">
        <v>186</v>
      </c>
      <c r="C42" s="8" t="s">
        <v>301</v>
      </c>
      <c r="D42" s="8" t="s">
        <v>28</v>
      </c>
      <c r="E42" s="8" t="s">
        <v>29</v>
      </c>
      <c r="F42" s="8" t="s">
        <v>130</v>
      </c>
      <c r="G42" s="11">
        <v>0</v>
      </c>
      <c r="H42" s="11">
        <v>23.716666666666669</v>
      </c>
      <c r="I42" s="11">
        <v>4.4333333333333336</v>
      </c>
      <c r="J42" s="11">
        <v>9.5500000000000007</v>
      </c>
      <c r="K42" s="11">
        <v>50.65</v>
      </c>
      <c r="L42" s="11">
        <v>34.233333333333327</v>
      </c>
      <c r="M42" s="11">
        <v>109.3</v>
      </c>
    </row>
    <row r="43" spans="1:13" x14ac:dyDescent="0.25">
      <c r="A43" s="6">
        <v>34</v>
      </c>
      <c r="B43" s="6" t="s">
        <v>210</v>
      </c>
      <c r="C43" s="6" t="s">
        <v>300</v>
      </c>
      <c r="D43" s="6" t="s">
        <v>28</v>
      </c>
      <c r="E43" s="6" t="s">
        <v>29</v>
      </c>
      <c r="F43" s="6" t="s">
        <v>130</v>
      </c>
      <c r="G43" s="10">
        <v>0</v>
      </c>
      <c r="H43" s="10">
        <v>34.497033333333327</v>
      </c>
      <c r="I43" s="10">
        <v>3.6833333333333331</v>
      </c>
      <c r="J43" s="10">
        <v>7.35</v>
      </c>
      <c r="K43" s="10">
        <v>57.55</v>
      </c>
      <c r="L43" s="10">
        <v>37.366666666666667</v>
      </c>
      <c r="M43" s="10">
        <v>112.4</v>
      </c>
    </row>
    <row r="44" spans="1:13" x14ac:dyDescent="0.25">
      <c r="A44" s="8">
        <v>34</v>
      </c>
      <c r="B44" s="8" t="s">
        <v>210</v>
      </c>
      <c r="C44" s="8" t="s">
        <v>301</v>
      </c>
      <c r="D44" s="8" t="s">
        <v>28</v>
      </c>
      <c r="E44" s="8" t="s">
        <v>29</v>
      </c>
      <c r="F44" s="8" t="s">
        <v>130</v>
      </c>
      <c r="G44" s="11">
        <v>0</v>
      </c>
      <c r="H44" s="11">
        <v>26.333333333333329</v>
      </c>
      <c r="I44" s="11">
        <v>10.016666666666669</v>
      </c>
      <c r="J44" s="11">
        <v>14.483333333333331</v>
      </c>
      <c r="K44" s="11">
        <v>52.6</v>
      </c>
      <c r="L44" s="11">
        <v>42.233333333333327</v>
      </c>
      <c r="M44" s="11">
        <v>146.08333333333329</v>
      </c>
    </row>
    <row r="45" spans="1:13" x14ac:dyDescent="0.25">
      <c r="A45" s="6">
        <v>35</v>
      </c>
      <c r="B45" s="6" t="s">
        <v>212</v>
      </c>
      <c r="C45" s="6" t="s">
        <v>300</v>
      </c>
      <c r="D45" s="6" t="s">
        <v>28</v>
      </c>
      <c r="E45" s="6" t="s">
        <v>29</v>
      </c>
      <c r="F45" s="6" t="s">
        <v>130</v>
      </c>
      <c r="G45" s="10">
        <v>0</v>
      </c>
      <c r="H45" s="10">
        <v>20.65</v>
      </c>
      <c r="I45" s="10">
        <v>8.668333333333333</v>
      </c>
      <c r="J45" s="10">
        <v>2.9833333333333329</v>
      </c>
      <c r="K45" s="10">
        <v>56.783333333333331</v>
      </c>
      <c r="L45" s="10">
        <v>43.369783333333331</v>
      </c>
      <c r="M45" s="10">
        <v>62.483333333333327</v>
      </c>
    </row>
    <row r="46" spans="1:13" x14ac:dyDescent="0.25">
      <c r="A46" s="8">
        <v>35</v>
      </c>
      <c r="B46" s="8" t="s">
        <v>212</v>
      </c>
      <c r="C46" s="8" t="s">
        <v>301</v>
      </c>
      <c r="D46" s="8" t="s">
        <v>28</v>
      </c>
      <c r="E46" s="8" t="s">
        <v>29</v>
      </c>
      <c r="F46" s="8" t="s">
        <v>130</v>
      </c>
      <c r="G46" s="11">
        <v>0</v>
      </c>
      <c r="H46" s="11">
        <v>21.383333333333329</v>
      </c>
      <c r="I46" s="11">
        <v>1</v>
      </c>
      <c r="J46" s="11">
        <v>0</v>
      </c>
      <c r="K46" s="11">
        <v>39.18333333333333</v>
      </c>
      <c r="L46" s="11">
        <v>30.466666666666669</v>
      </c>
      <c r="M46" s="11">
        <v>102.92506666666669</v>
      </c>
    </row>
    <row r="49" spans="1:13" ht="27.95" customHeight="1" x14ac:dyDescent="0.25">
      <c r="A49" s="55" t="s">
        <v>360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</row>
    <row r="50" spans="1:13" ht="3.9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2" spans="1:13" ht="30" x14ac:dyDescent="0.25">
      <c r="A52" s="9" t="s">
        <v>59</v>
      </c>
      <c r="B52" s="9" t="s">
        <v>60</v>
      </c>
      <c r="C52" s="9" t="s">
        <v>292</v>
      </c>
      <c r="D52" s="9" t="s">
        <v>24</v>
      </c>
      <c r="E52" s="9" t="s">
        <v>61</v>
      </c>
      <c r="F52" s="9" t="s">
        <v>62</v>
      </c>
      <c r="G52" s="9" t="s">
        <v>293</v>
      </c>
      <c r="H52" s="9" t="s">
        <v>294</v>
      </c>
      <c r="I52" s="9" t="s">
        <v>295</v>
      </c>
      <c r="J52" s="9" t="s">
        <v>296</v>
      </c>
      <c r="K52" s="9" t="s">
        <v>297</v>
      </c>
      <c r="L52" s="9" t="s">
        <v>298</v>
      </c>
      <c r="M52" s="9" t="s">
        <v>299</v>
      </c>
    </row>
    <row r="53" spans="1:13" x14ac:dyDescent="0.25">
      <c r="A53" s="6">
        <v>12</v>
      </c>
      <c r="B53" s="6" t="s">
        <v>136</v>
      </c>
      <c r="C53" s="6" t="s">
        <v>300</v>
      </c>
      <c r="D53" s="6" t="s">
        <v>28</v>
      </c>
      <c r="E53" s="6" t="s">
        <v>29</v>
      </c>
      <c r="F53" s="6" t="s">
        <v>130</v>
      </c>
      <c r="G53" s="10">
        <v>0</v>
      </c>
      <c r="H53" s="10">
        <v>0.9969610105345994</v>
      </c>
      <c r="I53" s="10">
        <v>0.70531249288605091</v>
      </c>
      <c r="J53" s="10">
        <v>0</v>
      </c>
      <c r="K53" s="10">
        <v>41.444028126689659</v>
      </c>
      <c r="L53" s="10">
        <v>29.143387878980331</v>
      </c>
      <c r="M53" s="10">
        <v>64.401008346932969</v>
      </c>
    </row>
    <row r="54" spans="1:13" x14ac:dyDescent="0.25">
      <c r="A54" s="8">
        <v>12</v>
      </c>
      <c r="B54" s="8" t="s">
        <v>136</v>
      </c>
      <c r="C54" s="8" t="s">
        <v>301</v>
      </c>
      <c r="D54" s="8" t="s">
        <v>28</v>
      </c>
      <c r="E54" s="8" t="s">
        <v>29</v>
      </c>
      <c r="F54" s="8" t="s">
        <v>130</v>
      </c>
      <c r="G54" s="11">
        <v>0</v>
      </c>
      <c r="H54" s="11">
        <v>0.11699904226004509</v>
      </c>
      <c r="I54" s="11">
        <v>0.96438076555850782</v>
      </c>
      <c r="J54" s="11">
        <v>0.77930295991607568</v>
      </c>
      <c r="K54" s="11">
        <v>36.712209444916184</v>
      </c>
      <c r="L54" s="11">
        <v>25.040527354235781</v>
      </c>
      <c r="M54" s="11">
        <v>74.293641117732662</v>
      </c>
    </row>
    <row r="55" spans="1:13" x14ac:dyDescent="0.25">
      <c r="A55" s="6">
        <v>13</v>
      </c>
      <c r="B55" s="6" t="s">
        <v>141</v>
      </c>
      <c r="C55" s="6" t="s">
        <v>300</v>
      </c>
      <c r="D55" s="6" t="s">
        <v>28</v>
      </c>
      <c r="E55" s="6" t="s">
        <v>29</v>
      </c>
      <c r="F55" s="6" t="s">
        <v>130</v>
      </c>
      <c r="G55" s="10">
        <v>0</v>
      </c>
      <c r="H55" s="10">
        <v>0.5585488688475958</v>
      </c>
      <c r="I55" s="10">
        <v>1.1280191553248591</v>
      </c>
      <c r="J55" s="10">
        <v>0.85257026986061224</v>
      </c>
      <c r="K55" s="10">
        <v>43.558503820487473</v>
      </c>
      <c r="L55" s="10">
        <v>32.438943986672427</v>
      </c>
      <c r="M55" s="10">
        <v>66.332492528405481</v>
      </c>
    </row>
    <row r="56" spans="1:13" x14ac:dyDescent="0.25">
      <c r="A56" s="8">
        <v>13</v>
      </c>
      <c r="B56" s="8" t="s">
        <v>141</v>
      </c>
      <c r="C56" s="8" t="s">
        <v>301</v>
      </c>
      <c r="D56" s="8" t="s">
        <v>28</v>
      </c>
      <c r="E56" s="8" t="s">
        <v>29</v>
      </c>
      <c r="F56" s="8" t="s">
        <v>130</v>
      </c>
      <c r="G56" s="11">
        <v>0</v>
      </c>
      <c r="H56" s="11">
        <v>0.43407803900839542</v>
      </c>
      <c r="I56" s="11">
        <v>2.0574693428543021</v>
      </c>
      <c r="J56" s="11">
        <v>0.27011205530314503</v>
      </c>
      <c r="K56" s="11">
        <v>30.597979144685119</v>
      </c>
      <c r="L56" s="11">
        <v>25.113544257186629</v>
      </c>
      <c r="M56" s="11">
        <v>85.251487097446585</v>
      </c>
    </row>
    <row r="57" spans="1:13" x14ac:dyDescent="0.25">
      <c r="A57" s="6">
        <v>14</v>
      </c>
      <c r="B57" s="6" t="s">
        <v>144</v>
      </c>
      <c r="C57" s="6" t="s">
        <v>300</v>
      </c>
      <c r="D57" s="6" t="s">
        <v>28</v>
      </c>
      <c r="E57" s="6" t="s">
        <v>29</v>
      </c>
      <c r="F57" s="6" t="s">
        <v>130</v>
      </c>
      <c r="G57" s="10">
        <v>0</v>
      </c>
      <c r="H57" s="10">
        <v>1.156478673390982</v>
      </c>
      <c r="I57" s="10">
        <v>0.51635952825814069</v>
      </c>
      <c r="J57" s="10">
        <v>0.43943113160824449</v>
      </c>
      <c r="K57" s="10">
        <v>35.860322802540047</v>
      </c>
      <c r="L57" s="10">
        <v>24.93604446973648</v>
      </c>
      <c r="M57" s="10">
        <v>61.009959080237223</v>
      </c>
    </row>
    <row r="58" spans="1:13" x14ac:dyDescent="0.25">
      <c r="A58" s="8">
        <v>14</v>
      </c>
      <c r="B58" s="8" t="s">
        <v>144</v>
      </c>
      <c r="C58" s="8" t="s">
        <v>301</v>
      </c>
      <c r="D58" s="8" t="s">
        <v>28</v>
      </c>
      <c r="E58" s="8" t="s">
        <v>29</v>
      </c>
      <c r="F58" s="8" t="s">
        <v>130</v>
      </c>
      <c r="G58" s="11">
        <v>0</v>
      </c>
      <c r="H58" s="11">
        <v>0.1090721560237224</v>
      </c>
      <c r="I58" s="11">
        <v>0.83852134333277595</v>
      </c>
      <c r="J58" s="11">
        <v>0</v>
      </c>
      <c r="K58" s="11">
        <v>28.213201619757211</v>
      </c>
      <c r="L58" s="11">
        <v>20.93633895165053</v>
      </c>
      <c r="M58" s="11">
        <v>73.844802002142799</v>
      </c>
    </row>
    <row r="59" spans="1:13" x14ac:dyDescent="0.25">
      <c r="A59" s="6">
        <v>15</v>
      </c>
      <c r="B59" s="6" t="s">
        <v>150</v>
      </c>
      <c r="C59" s="6" t="s">
        <v>300</v>
      </c>
      <c r="D59" s="6" t="s">
        <v>28</v>
      </c>
      <c r="E59" s="6" t="s">
        <v>29</v>
      </c>
      <c r="F59" s="6" t="s">
        <v>130</v>
      </c>
      <c r="G59" s="10">
        <v>0</v>
      </c>
      <c r="H59" s="10">
        <v>0.52166162348455802</v>
      </c>
      <c r="I59" s="10">
        <v>0.55895774646599539</v>
      </c>
      <c r="J59" s="10">
        <v>0.35482326921949731</v>
      </c>
      <c r="K59" s="10">
        <v>43.320905108620543</v>
      </c>
      <c r="L59" s="10">
        <v>28.28601681705657</v>
      </c>
      <c r="M59" s="10">
        <v>70.673195048294886</v>
      </c>
    </row>
    <row r="60" spans="1:13" x14ac:dyDescent="0.25">
      <c r="A60" s="8">
        <v>15</v>
      </c>
      <c r="B60" s="8" t="s">
        <v>150</v>
      </c>
      <c r="C60" s="8" t="s">
        <v>301</v>
      </c>
      <c r="D60" s="8" t="s">
        <v>28</v>
      </c>
      <c r="E60" s="8" t="s">
        <v>29</v>
      </c>
      <c r="F60" s="8" t="s">
        <v>130</v>
      </c>
      <c r="G60" s="11">
        <v>0</v>
      </c>
      <c r="H60" s="11">
        <v>0.43407803900839542</v>
      </c>
      <c r="I60" s="11">
        <v>2.0373023196522468</v>
      </c>
      <c r="J60" s="11">
        <v>0.27011205530314503</v>
      </c>
      <c r="K60" s="11">
        <v>30.597979144685119</v>
      </c>
      <c r="L60" s="11">
        <v>25.113544257186629</v>
      </c>
      <c r="M60" s="11">
        <v>85.249995172615314</v>
      </c>
    </row>
    <row r="61" spans="1:13" x14ac:dyDescent="0.25">
      <c r="A61" s="6">
        <v>16</v>
      </c>
      <c r="B61" s="6" t="s">
        <v>153</v>
      </c>
      <c r="C61" s="6" t="s">
        <v>300</v>
      </c>
      <c r="D61" s="6" t="s">
        <v>28</v>
      </c>
      <c r="E61" s="6" t="s">
        <v>29</v>
      </c>
      <c r="F61" s="6" t="s">
        <v>130</v>
      </c>
      <c r="G61" s="10">
        <v>0</v>
      </c>
      <c r="H61" s="10">
        <v>1.349334550099321</v>
      </c>
      <c r="I61" s="10">
        <v>0.85626343374075942</v>
      </c>
      <c r="J61" s="10">
        <v>0.6700482500107362</v>
      </c>
      <c r="K61" s="10">
        <v>44.025744768194123</v>
      </c>
      <c r="L61" s="10">
        <v>31.17572674470658</v>
      </c>
      <c r="M61" s="10">
        <v>74.16217403535677</v>
      </c>
    </row>
    <row r="62" spans="1:13" x14ac:dyDescent="0.25">
      <c r="A62" s="8">
        <v>16</v>
      </c>
      <c r="B62" s="8" t="s">
        <v>153</v>
      </c>
      <c r="C62" s="8" t="s">
        <v>301</v>
      </c>
      <c r="D62" s="8" t="s">
        <v>28</v>
      </c>
      <c r="E62" s="8" t="s">
        <v>29</v>
      </c>
      <c r="F62" s="8" t="s">
        <v>130</v>
      </c>
      <c r="G62" s="11">
        <v>0</v>
      </c>
      <c r="H62" s="11">
        <v>0.32294108699012902</v>
      </c>
      <c r="I62" s="11">
        <v>0.5256426997626461</v>
      </c>
      <c r="J62" s="11">
        <v>1.2222826160609359</v>
      </c>
      <c r="K62" s="11">
        <v>30.18268163700424</v>
      </c>
      <c r="L62" s="11">
        <v>24.79776882222491</v>
      </c>
      <c r="M62" s="11">
        <v>96.896273385660237</v>
      </c>
    </row>
    <row r="63" spans="1:13" x14ac:dyDescent="0.25">
      <c r="A63" s="6">
        <v>17</v>
      </c>
      <c r="B63" s="6" t="s">
        <v>158</v>
      </c>
      <c r="C63" s="6" t="s">
        <v>300</v>
      </c>
      <c r="D63" s="6" t="s">
        <v>28</v>
      </c>
      <c r="E63" s="6" t="s">
        <v>29</v>
      </c>
      <c r="F63" s="6" t="s">
        <v>130</v>
      </c>
      <c r="G63" s="10">
        <v>0</v>
      </c>
      <c r="H63" s="10">
        <v>0.1862366457606098</v>
      </c>
      <c r="I63" s="10">
        <v>0.28644165794522208</v>
      </c>
      <c r="J63" s="10">
        <v>0.30638082516478932</v>
      </c>
      <c r="K63" s="10">
        <v>51.040210715733267</v>
      </c>
      <c r="L63" s="10">
        <v>36.752369717980088</v>
      </c>
      <c r="M63" s="10">
        <v>57.027122505769483</v>
      </c>
    </row>
    <row r="64" spans="1:13" x14ac:dyDescent="0.25">
      <c r="A64" s="8">
        <v>17</v>
      </c>
      <c r="B64" s="8" t="s">
        <v>158</v>
      </c>
      <c r="C64" s="8" t="s">
        <v>301</v>
      </c>
      <c r="D64" s="8" t="s">
        <v>28</v>
      </c>
      <c r="E64" s="8" t="s">
        <v>29</v>
      </c>
      <c r="F64" s="8" t="s">
        <v>130</v>
      </c>
      <c r="G64" s="11">
        <v>0</v>
      </c>
      <c r="H64" s="11">
        <v>0.43407803900839542</v>
      </c>
      <c r="I64" s="11">
        <v>2.031482381418694</v>
      </c>
      <c r="J64" s="11">
        <v>0.27011205530314503</v>
      </c>
      <c r="K64" s="11">
        <v>30.597979144685119</v>
      </c>
      <c r="L64" s="11">
        <v>25.113544257186629</v>
      </c>
      <c r="M64" s="11">
        <v>85.372241243471635</v>
      </c>
    </row>
    <row r="65" spans="1:13" x14ac:dyDescent="0.25">
      <c r="A65" s="6">
        <v>24</v>
      </c>
      <c r="B65" s="6" t="s">
        <v>178</v>
      </c>
      <c r="C65" s="6" t="s">
        <v>300</v>
      </c>
      <c r="D65" s="6" t="s">
        <v>28</v>
      </c>
      <c r="E65" s="6" t="s">
        <v>29</v>
      </c>
      <c r="F65" s="6" t="s">
        <v>130</v>
      </c>
      <c r="G65" s="10">
        <v>0</v>
      </c>
      <c r="H65" s="10">
        <v>0.43287959154678851</v>
      </c>
      <c r="I65" s="10">
        <v>0.5147545761381157</v>
      </c>
      <c r="J65" s="10">
        <v>0.73819242016004771</v>
      </c>
      <c r="K65" s="10">
        <v>38.040822350023817</v>
      </c>
      <c r="L65" s="10">
        <v>28.349735048175351</v>
      </c>
      <c r="M65" s="10">
        <v>56.945127768261933</v>
      </c>
    </row>
    <row r="66" spans="1:13" x14ac:dyDescent="0.25">
      <c r="A66" s="8">
        <v>24</v>
      </c>
      <c r="B66" s="8" t="s">
        <v>178</v>
      </c>
      <c r="C66" s="8" t="s">
        <v>301</v>
      </c>
      <c r="D66" s="8" t="s">
        <v>28</v>
      </c>
      <c r="E66" s="8" t="s">
        <v>29</v>
      </c>
      <c r="F66" s="8" t="s">
        <v>130</v>
      </c>
      <c r="G66" s="11">
        <v>0</v>
      </c>
      <c r="H66" s="11">
        <v>0.1090721560237224</v>
      </c>
      <c r="I66" s="11">
        <v>0.87722495457012495</v>
      </c>
      <c r="J66" s="11">
        <v>0</v>
      </c>
      <c r="K66" s="11">
        <v>28.213201619757211</v>
      </c>
      <c r="L66" s="11">
        <v>20.93633895165053</v>
      </c>
      <c r="M66" s="11">
        <v>73.751298912570178</v>
      </c>
    </row>
    <row r="67" spans="1:13" x14ac:dyDescent="0.25">
      <c r="A67" s="6">
        <v>25</v>
      </c>
      <c r="B67" s="6" t="s">
        <v>181</v>
      </c>
      <c r="C67" s="6" t="s">
        <v>300</v>
      </c>
      <c r="D67" s="6" t="s">
        <v>28</v>
      </c>
      <c r="E67" s="6" t="s">
        <v>29</v>
      </c>
      <c r="F67" s="6" t="s">
        <v>130</v>
      </c>
      <c r="G67" s="10">
        <v>0</v>
      </c>
      <c r="H67" s="10">
        <v>0.19263724537963819</v>
      </c>
      <c r="I67" s="10">
        <v>0.55895774646599539</v>
      </c>
      <c r="J67" s="10">
        <v>0.1091649650425091</v>
      </c>
      <c r="K67" s="10">
        <v>41.384212685216482</v>
      </c>
      <c r="L67" s="10">
        <v>26.988321053442991</v>
      </c>
      <c r="M67" s="10">
        <v>67.483594884180178</v>
      </c>
    </row>
    <row r="68" spans="1:13" x14ac:dyDescent="0.25">
      <c r="A68" s="8">
        <v>25</v>
      </c>
      <c r="B68" s="8" t="s">
        <v>181</v>
      </c>
      <c r="C68" s="8" t="s">
        <v>301</v>
      </c>
      <c r="D68" s="8" t="s">
        <v>28</v>
      </c>
      <c r="E68" s="8" t="s">
        <v>29</v>
      </c>
      <c r="F68" s="8" t="s">
        <v>130</v>
      </c>
      <c r="G68" s="11">
        <v>0</v>
      </c>
      <c r="H68" s="11">
        <v>0.11699904226004509</v>
      </c>
      <c r="I68" s="11">
        <v>0.96270223906633912</v>
      </c>
      <c r="J68" s="11">
        <v>0.78217538796692843</v>
      </c>
      <c r="K68" s="11">
        <v>36.712209444916184</v>
      </c>
      <c r="L68" s="11">
        <v>25.040527354235781</v>
      </c>
      <c r="M68" s="11">
        <v>74.293641117732662</v>
      </c>
    </row>
    <row r="69" spans="1:13" x14ac:dyDescent="0.25">
      <c r="A69" s="6">
        <v>26</v>
      </c>
      <c r="B69" s="6" t="s">
        <v>183</v>
      </c>
      <c r="C69" s="6" t="s">
        <v>300</v>
      </c>
      <c r="D69" s="6" t="s">
        <v>28</v>
      </c>
      <c r="E69" s="6" t="s">
        <v>29</v>
      </c>
      <c r="F69" s="6" t="s">
        <v>130</v>
      </c>
      <c r="G69" s="10">
        <v>0</v>
      </c>
      <c r="H69" s="10">
        <v>0.5585488688475958</v>
      </c>
      <c r="I69" s="10">
        <v>1.3470620501331301</v>
      </c>
      <c r="J69" s="10">
        <v>1.1588950583343161</v>
      </c>
      <c r="K69" s="10">
        <v>45.26405758465819</v>
      </c>
      <c r="L69" s="10">
        <v>33.585180420899938</v>
      </c>
      <c r="M69" s="10">
        <v>71.459183582966247</v>
      </c>
    </row>
    <row r="70" spans="1:13" x14ac:dyDescent="0.25">
      <c r="A70" s="8">
        <v>26</v>
      </c>
      <c r="B70" s="8" t="s">
        <v>183</v>
      </c>
      <c r="C70" s="8" t="s">
        <v>301</v>
      </c>
      <c r="D70" s="8" t="s">
        <v>28</v>
      </c>
      <c r="E70" s="8" t="s">
        <v>29</v>
      </c>
      <c r="F70" s="8" t="s">
        <v>130</v>
      </c>
      <c r="G70" s="11">
        <v>0</v>
      </c>
      <c r="H70" s="11">
        <v>0.34145817954491431</v>
      </c>
      <c r="I70" s="11">
        <v>0.5256426997626461</v>
      </c>
      <c r="J70" s="11">
        <v>1.2222826160609359</v>
      </c>
      <c r="K70" s="11">
        <v>30.18268163700424</v>
      </c>
      <c r="L70" s="11">
        <v>24.888619369878651</v>
      </c>
      <c r="M70" s="11">
        <v>96.902750674201656</v>
      </c>
    </row>
    <row r="71" spans="1:13" x14ac:dyDescent="0.25">
      <c r="A71" s="6">
        <v>27</v>
      </c>
      <c r="B71" s="6" t="s">
        <v>186</v>
      </c>
      <c r="C71" s="6" t="s">
        <v>300</v>
      </c>
      <c r="D71" s="6" t="s">
        <v>28</v>
      </c>
      <c r="E71" s="6" t="s">
        <v>29</v>
      </c>
      <c r="F71" s="6" t="s">
        <v>130</v>
      </c>
      <c r="G71" s="10">
        <v>0</v>
      </c>
      <c r="H71" s="10">
        <v>0.1769495542483206</v>
      </c>
      <c r="I71" s="10">
        <v>0.28644165794522208</v>
      </c>
      <c r="J71" s="10">
        <v>0.23768555241039721</v>
      </c>
      <c r="K71" s="10">
        <v>48.513466786391881</v>
      </c>
      <c r="L71" s="10">
        <v>34.664168060301797</v>
      </c>
      <c r="M71" s="10">
        <v>54.415752988771978</v>
      </c>
    </row>
    <row r="72" spans="1:13" x14ac:dyDescent="0.25">
      <c r="A72" s="8">
        <v>27</v>
      </c>
      <c r="B72" s="8" t="s">
        <v>186</v>
      </c>
      <c r="C72" s="8" t="s">
        <v>301</v>
      </c>
      <c r="D72" s="8" t="s">
        <v>28</v>
      </c>
      <c r="E72" s="8" t="s">
        <v>29</v>
      </c>
      <c r="F72" s="8" t="s">
        <v>130</v>
      </c>
      <c r="G72" s="11">
        <v>0</v>
      </c>
      <c r="H72" s="11">
        <v>0.11699904226004509</v>
      </c>
      <c r="I72" s="11">
        <v>0.95688081818818838</v>
      </c>
      <c r="J72" s="11">
        <v>0.74908888986193567</v>
      </c>
      <c r="K72" s="11">
        <v>36.712209444916184</v>
      </c>
      <c r="L72" s="11">
        <v>25.040527354235781</v>
      </c>
      <c r="M72" s="11">
        <v>74.293641117732662</v>
      </c>
    </row>
    <row r="73" spans="1:13" x14ac:dyDescent="0.25">
      <c r="A73" s="6">
        <v>34</v>
      </c>
      <c r="B73" s="6" t="s">
        <v>210</v>
      </c>
      <c r="C73" s="6" t="s">
        <v>300</v>
      </c>
      <c r="D73" s="6" t="s">
        <v>28</v>
      </c>
      <c r="E73" s="6" t="s">
        <v>29</v>
      </c>
      <c r="F73" s="6" t="s">
        <v>130</v>
      </c>
      <c r="G73" s="10">
        <v>0</v>
      </c>
      <c r="H73" s="10">
        <v>0.53888783763546344</v>
      </c>
      <c r="I73" s="10">
        <v>0.55895774646599539</v>
      </c>
      <c r="J73" s="10">
        <v>0.67988509001220443</v>
      </c>
      <c r="K73" s="10">
        <v>44.665977960802778</v>
      </c>
      <c r="L73" s="10">
        <v>29.461790710784889</v>
      </c>
      <c r="M73" s="10">
        <v>76.489180134545222</v>
      </c>
    </row>
    <row r="74" spans="1:13" x14ac:dyDescent="0.25">
      <c r="A74" s="8">
        <v>34</v>
      </c>
      <c r="B74" s="8" t="s">
        <v>210</v>
      </c>
      <c r="C74" s="8" t="s">
        <v>301</v>
      </c>
      <c r="D74" s="8" t="s">
        <v>28</v>
      </c>
      <c r="E74" s="8" t="s">
        <v>29</v>
      </c>
      <c r="F74" s="8" t="s">
        <v>130</v>
      </c>
      <c r="G74" s="11">
        <v>0</v>
      </c>
      <c r="H74" s="11">
        <v>0.32127343254929702</v>
      </c>
      <c r="I74" s="11">
        <v>0.5256426997626461</v>
      </c>
      <c r="J74" s="11">
        <v>1.2222826160609359</v>
      </c>
      <c r="K74" s="11">
        <v>30.18268163700424</v>
      </c>
      <c r="L74" s="11">
        <v>24.87772879183483</v>
      </c>
      <c r="M74" s="11">
        <v>96.902750674201656</v>
      </c>
    </row>
    <row r="75" spans="1:13" x14ac:dyDescent="0.25">
      <c r="A75" s="6">
        <v>35</v>
      </c>
      <c r="B75" s="6" t="s">
        <v>212</v>
      </c>
      <c r="C75" s="6" t="s">
        <v>300</v>
      </c>
      <c r="D75" s="6" t="s">
        <v>28</v>
      </c>
      <c r="E75" s="6" t="s">
        <v>29</v>
      </c>
      <c r="F75" s="6" t="s">
        <v>130</v>
      </c>
      <c r="G75" s="10">
        <v>0</v>
      </c>
      <c r="H75" s="10">
        <v>7.0507928329398672E-2</v>
      </c>
      <c r="I75" s="10">
        <v>0.1448841273528465</v>
      </c>
      <c r="J75" s="10">
        <v>0.25921076400223497</v>
      </c>
      <c r="K75" s="10">
        <v>43.798166138630357</v>
      </c>
      <c r="L75" s="10">
        <v>31.327707045503551</v>
      </c>
      <c r="M75" s="10">
        <v>50.141193298572247</v>
      </c>
    </row>
    <row r="76" spans="1:13" x14ac:dyDescent="0.25">
      <c r="A76" s="8">
        <v>35</v>
      </c>
      <c r="B76" s="8" t="s">
        <v>212</v>
      </c>
      <c r="C76" s="8" t="s">
        <v>301</v>
      </c>
      <c r="D76" s="8" t="s">
        <v>28</v>
      </c>
      <c r="E76" s="8" t="s">
        <v>29</v>
      </c>
      <c r="F76" s="8" t="s">
        <v>130</v>
      </c>
      <c r="G76" s="11">
        <v>0</v>
      </c>
      <c r="H76" s="11">
        <v>0.1090721560237224</v>
      </c>
      <c r="I76" s="11">
        <v>0.85914424303480363</v>
      </c>
      <c r="J76" s="11">
        <v>0</v>
      </c>
      <c r="K76" s="11">
        <v>28.213201619757211</v>
      </c>
      <c r="L76" s="11">
        <v>20.93633895165053</v>
      </c>
      <c r="M76" s="11">
        <v>73.864623033822284</v>
      </c>
    </row>
  </sheetData>
  <autoFilter ref="A52:M76"/>
  <mergeCells count="3">
    <mergeCell ref="A19:M19"/>
    <mergeCell ref="A49:M49"/>
    <mergeCell ref="A1:R1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7" width="22" customWidth="1"/>
    <col min="8" max="8" width="21" customWidth="1"/>
    <col min="9" max="9" width="22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361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37</v>
      </c>
      <c r="B5" s="6" t="s">
        <v>218</v>
      </c>
      <c r="C5" s="6" t="s">
        <v>42</v>
      </c>
      <c r="D5" s="6" t="s">
        <v>28</v>
      </c>
      <c r="E5" s="6" t="s">
        <v>35</v>
      </c>
      <c r="F5" s="6" t="s">
        <v>76</v>
      </c>
      <c r="G5" s="6" t="s">
        <v>219</v>
      </c>
      <c r="H5" s="6" t="s">
        <v>84</v>
      </c>
      <c r="I5" s="10">
        <v>249.12684837179509</v>
      </c>
      <c r="J5" s="10">
        <v>249.90720121217629</v>
      </c>
      <c r="K5" s="10">
        <v>261.38704999999999</v>
      </c>
      <c r="L5" s="10">
        <v>244.9409666666667</v>
      </c>
      <c r="M5" s="6" t="s">
        <v>220</v>
      </c>
      <c r="N5" s="6" t="s">
        <v>221</v>
      </c>
      <c r="O5" s="6" t="s">
        <v>85</v>
      </c>
      <c r="P5" s="6" t="s">
        <v>222</v>
      </c>
      <c r="Q5" s="10">
        <v>63.843688448222949</v>
      </c>
      <c r="R5" s="10">
        <v>67.45522324597772</v>
      </c>
    </row>
    <row r="8" spans="1:18" ht="27.95" customHeight="1" x14ac:dyDescent="0.25">
      <c r="A8" s="55" t="s">
        <v>362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</row>
    <row r="9" spans="1:18" ht="3.9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1" spans="1:18" ht="30" x14ac:dyDescent="0.25">
      <c r="A11" s="9" t="s">
        <v>59</v>
      </c>
      <c r="B11" s="9" t="s">
        <v>60</v>
      </c>
      <c r="C11" s="9" t="s">
        <v>292</v>
      </c>
      <c r="D11" s="9" t="s">
        <v>24</v>
      </c>
      <c r="E11" s="9" t="s">
        <v>61</v>
      </c>
      <c r="F11" s="9" t="s">
        <v>62</v>
      </c>
      <c r="G11" s="9" t="s">
        <v>293</v>
      </c>
      <c r="H11" s="9" t="s">
        <v>294</v>
      </c>
      <c r="I11" s="9" t="s">
        <v>295</v>
      </c>
      <c r="J11" s="9" t="s">
        <v>296</v>
      </c>
      <c r="K11" s="9" t="s">
        <v>297</v>
      </c>
      <c r="L11" s="9" t="s">
        <v>298</v>
      </c>
      <c r="M11" s="9" t="s">
        <v>299</v>
      </c>
    </row>
    <row r="12" spans="1:18" x14ac:dyDescent="0.25">
      <c r="A12" s="6">
        <v>37</v>
      </c>
      <c r="B12" s="6" t="s">
        <v>218</v>
      </c>
      <c r="C12" s="6" t="s">
        <v>300</v>
      </c>
      <c r="D12" s="6" t="s">
        <v>28</v>
      </c>
      <c r="E12" s="6" t="s">
        <v>35</v>
      </c>
      <c r="F12" s="6" t="s">
        <v>76</v>
      </c>
      <c r="G12" s="10">
        <v>20.983333333333331</v>
      </c>
      <c r="H12" s="10">
        <v>3.666666666666667</v>
      </c>
      <c r="I12" s="10">
        <v>3.0333333333333332</v>
      </c>
      <c r="J12" s="10">
        <v>7.2833333333333332</v>
      </c>
      <c r="K12" s="10">
        <v>33.003716666666669</v>
      </c>
      <c r="L12" s="10">
        <v>29.65</v>
      </c>
      <c r="M12" s="10">
        <v>163.76666666666671</v>
      </c>
    </row>
    <row r="13" spans="1:18" x14ac:dyDescent="0.25">
      <c r="A13" s="8">
        <v>37</v>
      </c>
      <c r="B13" s="8" t="s">
        <v>218</v>
      </c>
      <c r="C13" s="8" t="s">
        <v>301</v>
      </c>
      <c r="D13" s="8" t="s">
        <v>28</v>
      </c>
      <c r="E13" s="8" t="s">
        <v>35</v>
      </c>
      <c r="F13" s="8" t="s">
        <v>76</v>
      </c>
      <c r="G13" s="11">
        <v>0</v>
      </c>
      <c r="H13" s="11">
        <v>16.43333333333333</v>
      </c>
      <c r="I13" s="11">
        <v>6.3166666666666664</v>
      </c>
      <c r="J13" s="11">
        <v>5</v>
      </c>
      <c r="K13" s="11">
        <v>46.8</v>
      </c>
      <c r="L13" s="11">
        <v>33.416666666666657</v>
      </c>
      <c r="M13" s="11">
        <v>136.9743</v>
      </c>
    </row>
    <row r="16" spans="1:18" ht="27.95" customHeight="1" x14ac:dyDescent="0.25">
      <c r="A16" s="55" t="s">
        <v>363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3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9" spans="1:13" ht="30" x14ac:dyDescent="0.25">
      <c r="A19" s="9" t="s">
        <v>59</v>
      </c>
      <c r="B19" s="9" t="s">
        <v>60</v>
      </c>
      <c r="C19" s="9" t="s">
        <v>292</v>
      </c>
      <c r="D19" s="9" t="s">
        <v>24</v>
      </c>
      <c r="E19" s="9" t="s">
        <v>61</v>
      </c>
      <c r="F19" s="9" t="s">
        <v>62</v>
      </c>
      <c r="G19" s="9" t="s">
        <v>293</v>
      </c>
      <c r="H19" s="9" t="s">
        <v>294</v>
      </c>
      <c r="I19" s="9" t="s">
        <v>295</v>
      </c>
      <c r="J19" s="9" t="s">
        <v>296</v>
      </c>
      <c r="K19" s="9" t="s">
        <v>297</v>
      </c>
      <c r="L19" s="9" t="s">
        <v>298</v>
      </c>
      <c r="M19" s="9" t="s">
        <v>299</v>
      </c>
    </row>
    <row r="20" spans="1:13" x14ac:dyDescent="0.25">
      <c r="A20" s="6">
        <v>37</v>
      </c>
      <c r="B20" s="6" t="s">
        <v>218</v>
      </c>
      <c r="C20" s="6" t="s">
        <v>300</v>
      </c>
      <c r="D20" s="6" t="s">
        <v>28</v>
      </c>
      <c r="E20" s="6" t="s">
        <v>35</v>
      </c>
      <c r="F20" s="6" t="s">
        <v>76</v>
      </c>
      <c r="G20" s="10">
        <v>0.30535713043367269</v>
      </c>
      <c r="H20" s="10">
        <v>0.14094843113112021</v>
      </c>
      <c r="I20" s="10">
        <v>5.4215425897099186E-3</v>
      </c>
      <c r="J20" s="10">
        <v>0.92447727733159768</v>
      </c>
      <c r="K20" s="10">
        <v>30.514332664280492</v>
      </c>
      <c r="L20" s="10">
        <v>28.675992224263862</v>
      </c>
      <c r="M20" s="10">
        <v>188.56031910176461</v>
      </c>
    </row>
    <row r="21" spans="1:13" x14ac:dyDescent="0.25">
      <c r="A21" s="8">
        <v>37</v>
      </c>
      <c r="B21" s="8" t="s">
        <v>218</v>
      </c>
      <c r="C21" s="8" t="s">
        <v>301</v>
      </c>
      <c r="D21" s="8" t="s">
        <v>28</v>
      </c>
      <c r="E21" s="8" t="s">
        <v>35</v>
      </c>
      <c r="F21" s="8" t="s">
        <v>76</v>
      </c>
      <c r="G21" s="11">
        <v>0</v>
      </c>
      <c r="H21" s="11">
        <v>8.3882197240028836E-2</v>
      </c>
      <c r="I21" s="11">
        <v>2.4298019276443351E-2</v>
      </c>
      <c r="J21" s="11">
        <v>0.2309310830082773</v>
      </c>
      <c r="K21" s="11">
        <v>45.486197913377573</v>
      </c>
      <c r="L21" s="11">
        <v>34.428473200240241</v>
      </c>
      <c r="M21" s="11">
        <v>169.6534187990338</v>
      </c>
    </row>
  </sheetData>
  <autoFilter ref="A19:M21"/>
  <mergeCells count="3">
    <mergeCell ref="A8:M8"/>
    <mergeCell ref="A16:M16"/>
    <mergeCell ref="A1:R1"/>
  </mergeCell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7" width="22" customWidth="1"/>
    <col min="8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364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</v>
      </c>
      <c r="B5" s="6" t="s">
        <v>75</v>
      </c>
      <c r="C5" s="6" t="s">
        <v>44</v>
      </c>
      <c r="D5" s="6" t="s">
        <v>28</v>
      </c>
      <c r="E5" s="6" t="s">
        <v>35</v>
      </c>
      <c r="F5" s="6" t="s">
        <v>76</v>
      </c>
      <c r="G5" s="6" t="s">
        <v>77</v>
      </c>
      <c r="H5" s="6" t="s">
        <v>78</v>
      </c>
      <c r="I5" s="10">
        <v>305.16658691227991</v>
      </c>
      <c r="J5" s="10">
        <v>310.4742418277487</v>
      </c>
      <c r="K5" s="10">
        <v>343.84039999999999</v>
      </c>
      <c r="L5" s="10">
        <v>311.50751666666667</v>
      </c>
      <c r="M5" s="6" t="s">
        <v>79</v>
      </c>
      <c r="N5" s="6" t="s">
        <v>80</v>
      </c>
      <c r="O5" s="6" t="s">
        <v>81</v>
      </c>
      <c r="P5" s="6" t="s">
        <v>82</v>
      </c>
      <c r="Q5" s="10">
        <v>69.11154120244322</v>
      </c>
      <c r="R5" s="10">
        <v>63.460767866371931</v>
      </c>
    </row>
    <row r="6" spans="1:18" x14ac:dyDescent="0.25">
      <c r="A6" s="8">
        <v>2</v>
      </c>
      <c r="B6" s="8" t="s">
        <v>83</v>
      </c>
      <c r="C6" s="8" t="s">
        <v>44</v>
      </c>
      <c r="D6" s="8" t="s">
        <v>28</v>
      </c>
      <c r="E6" s="8" t="s">
        <v>35</v>
      </c>
      <c r="F6" s="8" t="s">
        <v>76</v>
      </c>
      <c r="G6" s="8" t="s">
        <v>77</v>
      </c>
      <c r="H6" s="8" t="s">
        <v>84</v>
      </c>
      <c r="I6" s="11">
        <v>305.10727765948627</v>
      </c>
      <c r="J6" s="11">
        <v>305.2160753980956</v>
      </c>
      <c r="K6" s="11">
        <v>343.84039999999999</v>
      </c>
      <c r="L6" s="11">
        <v>299.01821666666672</v>
      </c>
      <c r="M6" s="8" t="s">
        <v>79</v>
      </c>
      <c r="N6" s="8" t="s">
        <v>80</v>
      </c>
      <c r="O6" s="8" t="s">
        <v>85</v>
      </c>
      <c r="P6" s="8" t="s">
        <v>86</v>
      </c>
      <c r="Q6" s="11">
        <v>69.098086819344246</v>
      </c>
      <c r="R6" s="11">
        <v>66.422255950595925</v>
      </c>
    </row>
    <row r="7" spans="1:18" x14ac:dyDescent="0.25">
      <c r="A7" s="6">
        <v>32</v>
      </c>
      <c r="B7" s="6" t="s">
        <v>201</v>
      </c>
      <c r="C7" s="6" t="s">
        <v>44</v>
      </c>
      <c r="D7" s="6" t="s">
        <v>28</v>
      </c>
      <c r="E7" s="6" t="s">
        <v>35</v>
      </c>
      <c r="F7" s="6" t="s">
        <v>76</v>
      </c>
      <c r="G7" s="6" t="s">
        <v>145</v>
      </c>
      <c r="H7" s="6" t="s">
        <v>78</v>
      </c>
      <c r="I7" s="10">
        <v>324.82784685582573</v>
      </c>
      <c r="J7" s="10">
        <v>330.65385365728412</v>
      </c>
      <c r="K7" s="10">
        <v>356.12246666666658</v>
      </c>
      <c r="L7" s="10">
        <v>333.43333333333328</v>
      </c>
      <c r="M7" s="6" t="s">
        <v>202</v>
      </c>
      <c r="N7" s="6" t="s">
        <v>203</v>
      </c>
      <c r="O7" s="6" t="s">
        <v>81</v>
      </c>
      <c r="P7" s="6" t="s">
        <v>204</v>
      </c>
      <c r="Q7" s="10">
        <v>65.688581946123335</v>
      </c>
      <c r="R7" s="10">
        <v>62.887753110635487</v>
      </c>
    </row>
    <row r="8" spans="1:18" x14ac:dyDescent="0.25">
      <c r="A8" s="8">
        <v>33</v>
      </c>
      <c r="B8" s="8" t="s">
        <v>205</v>
      </c>
      <c r="C8" s="8" t="s">
        <v>44</v>
      </c>
      <c r="D8" s="8" t="s">
        <v>28</v>
      </c>
      <c r="E8" s="8" t="s">
        <v>35</v>
      </c>
      <c r="F8" s="8" t="s">
        <v>76</v>
      </c>
      <c r="G8" s="8" t="s">
        <v>145</v>
      </c>
      <c r="H8" s="8" t="s">
        <v>84</v>
      </c>
      <c r="I8" s="11">
        <v>320.29500345641202</v>
      </c>
      <c r="J8" s="11">
        <v>320.93023294332693</v>
      </c>
      <c r="K8" s="11">
        <v>350.05456666666669</v>
      </c>
      <c r="L8" s="11">
        <v>317.31619999999998</v>
      </c>
      <c r="M8" s="8" t="s">
        <v>206</v>
      </c>
      <c r="N8" s="8" t="s">
        <v>207</v>
      </c>
      <c r="O8" s="8" t="s">
        <v>208</v>
      </c>
      <c r="P8" s="8" t="s">
        <v>209</v>
      </c>
      <c r="Q8" s="11">
        <v>66.126659936677697</v>
      </c>
      <c r="R8" s="11">
        <v>65.883968417687953</v>
      </c>
    </row>
    <row r="11" spans="1:18" ht="27.95" customHeight="1" x14ac:dyDescent="0.25">
      <c r="A11" s="55" t="s">
        <v>365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8" ht="3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4" spans="1:18" ht="30" x14ac:dyDescent="0.25">
      <c r="A14" s="9" t="s">
        <v>59</v>
      </c>
      <c r="B14" s="9" t="s">
        <v>60</v>
      </c>
      <c r="C14" s="9" t="s">
        <v>292</v>
      </c>
      <c r="D14" s="9" t="s">
        <v>24</v>
      </c>
      <c r="E14" s="9" t="s">
        <v>61</v>
      </c>
      <c r="F14" s="9" t="s">
        <v>62</v>
      </c>
      <c r="G14" s="9" t="s">
        <v>293</v>
      </c>
      <c r="H14" s="9" t="s">
        <v>294</v>
      </c>
      <c r="I14" s="9" t="s">
        <v>295</v>
      </c>
      <c r="J14" s="9" t="s">
        <v>296</v>
      </c>
      <c r="K14" s="9" t="s">
        <v>297</v>
      </c>
      <c r="L14" s="9" t="s">
        <v>298</v>
      </c>
      <c r="M14" s="9" t="s">
        <v>299</v>
      </c>
    </row>
    <row r="15" spans="1:18" x14ac:dyDescent="0.25">
      <c r="A15" s="6">
        <v>1</v>
      </c>
      <c r="B15" s="6" t="s">
        <v>75</v>
      </c>
      <c r="C15" s="6" t="s">
        <v>300</v>
      </c>
      <c r="D15" s="6" t="s">
        <v>28</v>
      </c>
      <c r="E15" s="6" t="s">
        <v>35</v>
      </c>
      <c r="F15" s="6" t="s">
        <v>76</v>
      </c>
      <c r="G15" s="10">
        <v>30</v>
      </c>
      <c r="H15" s="10">
        <v>23.65</v>
      </c>
      <c r="I15" s="10">
        <v>25.7</v>
      </c>
      <c r="J15" s="10">
        <v>7.6</v>
      </c>
      <c r="K15" s="10">
        <v>61.423733333333331</v>
      </c>
      <c r="L15" s="10">
        <v>45.18333333333333</v>
      </c>
      <c r="M15" s="10">
        <v>150.2833333333333</v>
      </c>
    </row>
    <row r="16" spans="1:18" x14ac:dyDescent="0.25">
      <c r="A16" s="8">
        <v>1</v>
      </c>
      <c r="B16" s="8" t="s">
        <v>75</v>
      </c>
      <c r="C16" s="8" t="s">
        <v>301</v>
      </c>
      <c r="D16" s="8" t="s">
        <v>28</v>
      </c>
      <c r="E16" s="8" t="s">
        <v>35</v>
      </c>
      <c r="F16" s="8" t="s">
        <v>76</v>
      </c>
      <c r="G16" s="11">
        <v>0</v>
      </c>
      <c r="H16" s="11">
        <v>18.100000000000001</v>
      </c>
      <c r="I16" s="11">
        <v>6.6666666666666666E-2</v>
      </c>
      <c r="J16" s="11">
        <v>1.75</v>
      </c>
      <c r="K16" s="11">
        <v>57.690849999999998</v>
      </c>
      <c r="L16" s="11">
        <v>41.383333333333333</v>
      </c>
      <c r="M16" s="11">
        <v>192.51666666666671</v>
      </c>
    </row>
    <row r="17" spans="1:13" x14ac:dyDescent="0.25">
      <c r="A17" s="6">
        <v>2</v>
      </c>
      <c r="B17" s="6" t="s">
        <v>83</v>
      </c>
      <c r="C17" s="6" t="s">
        <v>300</v>
      </c>
      <c r="D17" s="6" t="s">
        <v>28</v>
      </c>
      <c r="E17" s="6" t="s">
        <v>35</v>
      </c>
      <c r="F17" s="6" t="s">
        <v>76</v>
      </c>
      <c r="G17" s="10">
        <v>30</v>
      </c>
      <c r="H17" s="10">
        <v>23.65</v>
      </c>
      <c r="I17" s="10">
        <v>25.7</v>
      </c>
      <c r="J17" s="10">
        <v>7.6</v>
      </c>
      <c r="K17" s="10">
        <v>61.423733333333331</v>
      </c>
      <c r="L17" s="10">
        <v>45.18333333333333</v>
      </c>
      <c r="M17" s="10">
        <v>150.2833333333333</v>
      </c>
    </row>
    <row r="18" spans="1:13" x14ac:dyDescent="0.25">
      <c r="A18" s="8">
        <v>2</v>
      </c>
      <c r="B18" s="8" t="s">
        <v>83</v>
      </c>
      <c r="C18" s="8" t="s">
        <v>301</v>
      </c>
      <c r="D18" s="8" t="s">
        <v>28</v>
      </c>
      <c r="E18" s="8" t="s">
        <v>35</v>
      </c>
      <c r="F18" s="8" t="s">
        <v>76</v>
      </c>
      <c r="G18" s="11">
        <v>0</v>
      </c>
      <c r="H18" s="11">
        <v>16.43333333333333</v>
      </c>
      <c r="I18" s="11">
        <v>6.9833333333333334</v>
      </c>
      <c r="J18" s="11">
        <v>5</v>
      </c>
      <c r="K18" s="11">
        <v>60.018216666666667</v>
      </c>
      <c r="L18" s="11">
        <v>42.633333333333333</v>
      </c>
      <c r="M18" s="11">
        <v>167.95</v>
      </c>
    </row>
    <row r="19" spans="1:13" x14ac:dyDescent="0.25">
      <c r="A19" s="6">
        <v>32</v>
      </c>
      <c r="B19" s="6" t="s">
        <v>201</v>
      </c>
      <c r="C19" s="6" t="s">
        <v>300</v>
      </c>
      <c r="D19" s="6" t="s">
        <v>28</v>
      </c>
      <c r="E19" s="6" t="s">
        <v>35</v>
      </c>
      <c r="F19" s="6" t="s">
        <v>76</v>
      </c>
      <c r="G19" s="10">
        <v>23.4</v>
      </c>
      <c r="H19" s="10">
        <v>37.616666666666667</v>
      </c>
      <c r="I19" s="10">
        <v>0</v>
      </c>
      <c r="J19" s="10">
        <v>0.58333333333333337</v>
      </c>
      <c r="K19" s="10">
        <v>58.389133333333326</v>
      </c>
      <c r="L19" s="10">
        <v>47.783333333333331</v>
      </c>
      <c r="M19" s="10">
        <v>188.35</v>
      </c>
    </row>
    <row r="20" spans="1:13" x14ac:dyDescent="0.25">
      <c r="A20" s="8">
        <v>32</v>
      </c>
      <c r="B20" s="8" t="s">
        <v>201</v>
      </c>
      <c r="C20" s="8" t="s">
        <v>301</v>
      </c>
      <c r="D20" s="8" t="s">
        <v>28</v>
      </c>
      <c r="E20" s="8" t="s">
        <v>35</v>
      </c>
      <c r="F20" s="8" t="s">
        <v>76</v>
      </c>
      <c r="G20" s="11">
        <v>0</v>
      </c>
      <c r="H20" s="11">
        <v>18.100000000000001</v>
      </c>
      <c r="I20" s="11">
        <v>6.6666666666666666E-2</v>
      </c>
      <c r="J20" s="11">
        <v>1.75</v>
      </c>
      <c r="K20" s="11">
        <v>61.95</v>
      </c>
      <c r="L20" s="11">
        <v>44.95</v>
      </c>
      <c r="M20" s="11">
        <v>206.6166666666667</v>
      </c>
    </row>
    <row r="21" spans="1:13" x14ac:dyDescent="0.25">
      <c r="A21" s="6">
        <v>33</v>
      </c>
      <c r="B21" s="6" t="s">
        <v>205</v>
      </c>
      <c r="C21" s="6" t="s">
        <v>300</v>
      </c>
      <c r="D21" s="6" t="s">
        <v>28</v>
      </c>
      <c r="E21" s="6" t="s">
        <v>35</v>
      </c>
      <c r="F21" s="6" t="s">
        <v>76</v>
      </c>
      <c r="G21" s="10">
        <v>23.4</v>
      </c>
      <c r="H21" s="10">
        <v>37.616666666666667</v>
      </c>
      <c r="I21" s="10">
        <v>0</v>
      </c>
      <c r="J21" s="10">
        <v>0.58333333333333337</v>
      </c>
      <c r="K21" s="10">
        <v>56.670316666666658</v>
      </c>
      <c r="L21" s="10">
        <v>46.800916666666673</v>
      </c>
      <c r="M21" s="10">
        <v>184.98333333333329</v>
      </c>
    </row>
    <row r="22" spans="1:13" x14ac:dyDescent="0.25">
      <c r="A22" s="8">
        <v>33</v>
      </c>
      <c r="B22" s="8" t="s">
        <v>205</v>
      </c>
      <c r="C22" s="8" t="s">
        <v>301</v>
      </c>
      <c r="D22" s="8" t="s">
        <v>28</v>
      </c>
      <c r="E22" s="8" t="s">
        <v>35</v>
      </c>
      <c r="F22" s="8" t="s">
        <v>76</v>
      </c>
      <c r="G22" s="11">
        <v>0</v>
      </c>
      <c r="H22" s="11">
        <v>16.43333333333333</v>
      </c>
      <c r="I22" s="11">
        <v>8.7333333333333325</v>
      </c>
      <c r="J22" s="11">
        <v>5.083333333333333</v>
      </c>
      <c r="K22" s="11">
        <v>63.81666666666667</v>
      </c>
      <c r="L22" s="11">
        <v>46.866666666666667</v>
      </c>
      <c r="M22" s="11">
        <v>176.3828666666667</v>
      </c>
    </row>
    <row r="25" spans="1:13" ht="27.95" customHeight="1" x14ac:dyDescent="0.25">
      <c r="A25" s="55" t="s">
        <v>366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</row>
    <row r="26" spans="1:13" ht="3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8" spans="1:13" ht="30" x14ac:dyDescent="0.25">
      <c r="A28" s="9" t="s">
        <v>59</v>
      </c>
      <c r="B28" s="9" t="s">
        <v>60</v>
      </c>
      <c r="C28" s="9" t="s">
        <v>292</v>
      </c>
      <c r="D28" s="9" t="s">
        <v>24</v>
      </c>
      <c r="E28" s="9" t="s">
        <v>61</v>
      </c>
      <c r="F28" s="9" t="s">
        <v>62</v>
      </c>
      <c r="G28" s="9" t="s">
        <v>293</v>
      </c>
      <c r="H28" s="9" t="s">
        <v>294</v>
      </c>
      <c r="I28" s="9" t="s">
        <v>295</v>
      </c>
      <c r="J28" s="9" t="s">
        <v>296</v>
      </c>
      <c r="K28" s="9" t="s">
        <v>297</v>
      </c>
      <c r="L28" s="9" t="s">
        <v>298</v>
      </c>
      <c r="M28" s="9" t="s">
        <v>299</v>
      </c>
    </row>
    <row r="29" spans="1:13" x14ac:dyDescent="0.25">
      <c r="A29" s="6">
        <v>1</v>
      </c>
      <c r="B29" s="6" t="s">
        <v>75</v>
      </c>
      <c r="C29" s="6" t="s">
        <v>300</v>
      </c>
      <c r="D29" s="6" t="s">
        <v>28</v>
      </c>
      <c r="E29" s="6" t="s">
        <v>35</v>
      </c>
      <c r="F29" s="6" t="s">
        <v>76</v>
      </c>
      <c r="G29" s="10">
        <v>0.31331323290921648</v>
      </c>
      <c r="H29" s="10">
        <v>4.1652318794050638E-2</v>
      </c>
      <c r="I29" s="10">
        <v>0.155968406398383</v>
      </c>
      <c r="J29" s="10">
        <v>0.44927380259769911</v>
      </c>
      <c r="K29" s="10">
        <v>60.308696506028731</v>
      </c>
      <c r="L29" s="10">
        <v>44.619089325926979</v>
      </c>
      <c r="M29" s="10">
        <v>199.27859331962469</v>
      </c>
    </row>
    <row r="30" spans="1:13" x14ac:dyDescent="0.25">
      <c r="A30" s="8">
        <v>1</v>
      </c>
      <c r="B30" s="8" t="s">
        <v>75</v>
      </c>
      <c r="C30" s="8" t="s">
        <v>301</v>
      </c>
      <c r="D30" s="8" t="s">
        <v>28</v>
      </c>
      <c r="E30" s="8" t="s">
        <v>35</v>
      </c>
      <c r="F30" s="8" t="s">
        <v>76</v>
      </c>
      <c r="G30" s="11">
        <v>0</v>
      </c>
      <c r="H30" s="11">
        <v>0.2136487015115684</v>
      </c>
      <c r="I30" s="11">
        <v>0</v>
      </c>
      <c r="J30" s="11">
        <v>0.30731281945969252</v>
      </c>
      <c r="K30" s="11">
        <v>55.580881691351998</v>
      </c>
      <c r="L30" s="11">
        <v>38.88632527176938</v>
      </c>
      <c r="M30" s="11">
        <v>215.4860733436561</v>
      </c>
    </row>
    <row r="31" spans="1:13" x14ac:dyDescent="0.25">
      <c r="A31" s="6">
        <v>2</v>
      </c>
      <c r="B31" s="6" t="s">
        <v>83</v>
      </c>
      <c r="C31" s="6" t="s">
        <v>300</v>
      </c>
      <c r="D31" s="6" t="s">
        <v>28</v>
      </c>
      <c r="E31" s="6" t="s">
        <v>35</v>
      </c>
      <c r="F31" s="6" t="s">
        <v>76</v>
      </c>
      <c r="G31" s="10">
        <v>0.31331323290921648</v>
      </c>
      <c r="H31" s="10">
        <v>4.1652318794050638E-2</v>
      </c>
      <c r="I31" s="10">
        <v>0.155968406398383</v>
      </c>
      <c r="J31" s="10">
        <v>0.44927380259769911</v>
      </c>
      <c r="K31" s="10">
        <v>60.301496385496783</v>
      </c>
      <c r="L31" s="10">
        <v>44.619089325926979</v>
      </c>
      <c r="M31" s="10">
        <v>199.22648418736321</v>
      </c>
    </row>
    <row r="32" spans="1:13" x14ac:dyDescent="0.25">
      <c r="A32" s="8">
        <v>2</v>
      </c>
      <c r="B32" s="8" t="s">
        <v>83</v>
      </c>
      <c r="C32" s="8" t="s">
        <v>301</v>
      </c>
      <c r="D32" s="8" t="s">
        <v>28</v>
      </c>
      <c r="E32" s="8" t="s">
        <v>35</v>
      </c>
      <c r="F32" s="8" t="s">
        <v>76</v>
      </c>
      <c r="G32" s="11">
        <v>0</v>
      </c>
      <c r="H32" s="11">
        <v>8.3882197240028836E-2</v>
      </c>
      <c r="I32" s="11">
        <v>3.091495950618035E-2</v>
      </c>
      <c r="J32" s="11">
        <v>0.2309310830082773</v>
      </c>
      <c r="K32" s="11">
        <v>57.928893825091471</v>
      </c>
      <c r="L32" s="11">
        <v>43.162925395186832</v>
      </c>
      <c r="M32" s="11">
        <v>203.77852793806281</v>
      </c>
    </row>
    <row r="33" spans="1:13" x14ac:dyDescent="0.25">
      <c r="A33" s="6">
        <v>32</v>
      </c>
      <c r="B33" s="6" t="s">
        <v>201</v>
      </c>
      <c r="C33" s="6" t="s">
        <v>300</v>
      </c>
      <c r="D33" s="6" t="s">
        <v>28</v>
      </c>
      <c r="E33" s="6" t="s">
        <v>35</v>
      </c>
      <c r="F33" s="6" t="s">
        <v>76</v>
      </c>
      <c r="G33" s="10">
        <v>0.14191087104532421</v>
      </c>
      <c r="H33" s="10">
        <v>1.601243883509142</v>
      </c>
      <c r="I33" s="10">
        <v>0</v>
      </c>
      <c r="J33" s="10">
        <v>0.2289474824354939</v>
      </c>
      <c r="K33" s="10">
        <v>60.390008783948808</v>
      </c>
      <c r="L33" s="10">
        <v>48.618346688203523</v>
      </c>
      <c r="M33" s="10">
        <v>213.8473891466835</v>
      </c>
    </row>
    <row r="34" spans="1:13" x14ac:dyDescent="0.25">
      <c r="A34" s="8">
        <v>32</v>
      </c>
      <c r="B34" s="8" t="s">
        <v>201</v>
      </c>
      <c r="C34" s="8" t="s">
        <v>301</v>
      </c>
      <c r="D34" s="8" t="s">
        <v>28</v>
      </c>
      <c r="E34" s="8" t="s">
        <v>35</v>
      </c>
      <c r="F34" s="8" t="s">
        <v>76</v>
      </c>
      <c r="G34" s="11">
        <v>0</v>
      </c>
      <c r="H34" s="11">
        <v>0.2136487015115684</v>
      </c>
      <c r="I34" s="11">
        <v>0</v>
      </c>
      <c r="J34" s="11">
        <v>0.30731281945969252</v>
      </c>
      <c r="K34" s="11">
        <v>59.158885604214703</v>
      </c>
      <c r="L34" s="11">
        <v>41.619295306483529</v>
      </c>
      <c r="M34" s="11">
        <v>229.35471122561461</v>
      </c>
    </row>
    <row r="35" spans="1:13" x14ac:dyDescent="0.25">
      <c r="A35" s="6">
        <v>33</v>
      </c>
      <c r="B35" s="6" t="s">
        <v>205</v>
      </c>
      <c r="C35" s="6" t="s">
        <v>300</v>
      </c>
      <c r="D35" s="6" t="s">
        <v>28</v>
      </c>
      <c r="E35" s="6" t="s">
        <v>35</v>
      </c>
      <c r="F35" s="6" t="s">
        <v>76</v>
      </c>
      <c r="G35" s="10">
        <v>0.14191087104532421</v>
      </c>
      <c r="H35" s="10">
        <v>1.601243883509142</v>
      </c>
      <c r="I35" s="10">
        <v>0</v>
      </c>
      <c r="J35" s="10">
        <v>0.2289474824354939</v>
      </c>
      <c r="K35" s="10">
        <v>59.191315216437189</v>
      </c>
      <c r="L35" s="10">
        <v>47.930006827141881</v>
      </c>
      <c r="M35" s="10">
        <v>211.20157917584299</v>
      </c>
    </row>
    <row r="36" spans="1:13" x14ac:dyDescent="0.25">
      <c r="A36" s="8">
        <v>33</v>
      </c>
      <c r="B36" s="8" t="s">
        <v>205</v>
      </c>
      <c r="C36" s="8" t="s">
        <v>301</v>
      </c>
      <c r="D36" s="8" t="s">
        <v>28</v>
      </c>
      <c r="E36" s="8" t="s">
        <v>35</v>
      </c>
      <c r="F36" s="8" t="s">
        <v>76</v>
      </c>
      <c r="G36" s="11">
        <v>0</v>
      </c>
      <c r="H36" s="11">
        <v>8.3882197240028836E-2</v>
      </c>
      <c r="I36" s="11">
        <v>4.6840289826681099E-2</v>
      </c>
      <c r="J36" s="11">
        <v>0.24952844734976529</v>
      </c>
      <c r="K36" s="11">
        <v>61.459796257234032</v>
      </c>
      <c r="L36" s="11">
        <v>46.932577465389251</v>
      </c>
      <c r="M36" s="11">
        <v>212.15760828628709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3" customWidth="1"/>
    <col min="6" max="6" width="24" customWidth="1"/>
    <col min="7" max="7" width="22" customWidth="1"/>
    <col min="8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367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4</v>
      </c>
      <c r="B5" s="6" t="s">
        <v>95</v>
      </c>
      <c r="C5" s="6" t="s">
        <v>42</v>
      </c>
      <c r="D5" s="6" t="s">
        <v>28</v>
      </c>
      <c r="E5" s="6" t="s">
        <v>29</v>
      </c>
      <c r="F5" s="6" t="s">
        <v>96</v>
      </c>
      <c r="G5" s="6" t="s">
        <v>97</v>
      </c>
      <c r="H5" s="6" t="s">
        <v>97</v>
      </c>
      <c r="I5" s="10">
        <v>148.19876902377749</v>
      </c>
      <c r="J5" s="10">
        <v>148.1254196841063</v>
      </c>
      <c r="K5" s="10">
        <v>240.44363333333331</v>
      </c>
      <c r="L5" s="10">
        <v>274.35000000000002</v>
      </c>
      <c r="M5" s="6" t="s">
        <v>98</v>
      </c>
      <c r="N5" s="6" t="s">
        <v>99</v>
      </c>
      <c r="O5" s="6" t="s">
        <v>100</v>
      </c>
      <c r="P5" s="6" t="s">
        <v>101</v>
      </c>
      <c r="Q5" s="10">
        <v>42.808105641290943</v>
      </c>
      <c r="R5" s="10">
        <v>44.784536201483498</v>
      </c>
    </row>
    <row r="6" spans="1:18" x14ac:dyDescent="0.25">
      <c r="A6" s="8">
        <v>5</v>
      </c>
      <c r="B6" s="8" t="s">
        <v>102</v>
      </c>
      <c r="C6" s="8" t="s">
        <v>44</v>
      </c>
      <c r="D6" s="8" t="s">
        <v>28</v>
      </c>
      <c r="E6" s="8" t="s">
        <v>29</v>
      </c>
      <c r="F6" s="8" t="s">
        <v>96</v>
      </c>
      <c r="G6" s="8" t="s">
        <v>97</v>
      </c>
      <c r="H6" s="8" t="s">
        <v>103</v>
      </c>
      <c r="I6" s="11">
        <v>141.62200313375999</v>
      </c>
      <c r="J6" s="11">
        <v>141.6711046862772</v>
      </c>
      <c r="K6" s="11">
        <v>209.59191666666669</v>
      </c>
      <c r="L6" s="11">
        <v>221.15</v>
      </c>
      <c r="M6" s="8" t="s">
        <v>104</v>
      </c>
      <c r="N6" s="8" t="s">
        <v>105</v>
      </c>
      <c r="O6" s="8" t="s">
        <v>106</v>
      </c>
      <c r="P6" s="8" t="s">
        <v>107</v>
      </c>
      <c r="Q6" s="11">
        <v>47.253841991330667</v>
      </c>
      <c r="R6" s="11">
        <v>44.821614085784937</v>
      </c>
    </row>
    <row r="7" spans="1:18" x14ac:dyDescent="0.25">
      <c r="A7" s="6">
        <v>6</v>
      </c>
      <c r="B7" s="6" t="s">
        <v>108</v>
      </c>
      <c r="C7" s="6" t="s">
        <v>44</v>
      </c>
      <c r="D7" s="6" t="s">
        <v>28</v>
      </c>
      <c r="E7" s="6" t="s">
        <v>29</v>
      </c>
      <c r="F7" s="6" t="s">
        <v>96</v>
      </c>
      <c r="G7" s="6" t="s">
        <v>103</v>
      </c>
      <c r="H7" s="6" t="s">
        <v>97</v>
      </c>
      <c r="I7" s="10">
        <v>148.20841194532801</v>
      </c>
      <c r="J7" s="10">
        <v>148.15021957391201</v>
      </c>
      <c r="K7" s="10">
        <v>221.51708333333329</v>
      </c>
      <c r="L7" s="10">
        <v>274.35000000000002</v>
      </c>
      <c r="M7" s="6" t="s">
        <v>109</v>
      </c>
      <c r="N7" s="6" t="s">
        <v>110</v>
      </c>
      <c r="O7" s="6" t="s">
        <v>100</v>
      </c>
      <c r="P7" s="6" t="s">
        <v>101</v>
      </c>
      <c r="Q7" s="10">
        <v>49.306618200865557</v>
      </c>
      <c r="R7" s="10">
        <v>44.79217019920052</v>
      </c>
    </row>
    <row r="8" spans="1:18" x14ac:dyDescent="0.25">
      <c r="A8" s="8">
        <v>7</v>
      </c>
      <c r="B8" s="8" t="s">
        <v>111</v>
      </c>
      <c r="C8" s="8" t="s">
        <v>44</v>
      </c>
      <c r="D8" s="8" t="s">
        <v>28</v>
      </c>
      <c r="E8" s="8" t="s">
        <v>29</v>
      </c>
      <c r="F8" s="8" t="s">
        <v>96</v>
      </c>
      <c r="G8" s="8" t="s">
        <v>97</v>
      </c>
      <c r="H8" s="8" t="s">
        <v>112</v>
      </c>
      <c r="I8" s="11">
        <v>146.1103622297162</v>
      </c>
      <c r="J8" s="11">
        <v>146.19417039093929</v>
      </c>
      <c r="K8" s="11">
        <v>232.89156666666659</v>
      </c>
      <c r="L8" s="11">
        <v>269.21666666666658</v>
      </c>
      <c r="M8" s="8" t="s">
        <v>113</v>
      </c>
      <c r="N8" s="8" t="s">
        <v>114</v>
      </c>
      <c r="O8" s="8" t="s">
        <v>115</v>
      </c>
      <c r="P8" s="8" t="s">
        <v>116</v>
      </c>
      <c r="Q8" s="11">
        <v>44.761538696895471</v>
      </c>
      <c r="R8" s="11">
        <v>44.849027767870119</v>
      </c>
    </row>
    <row r="9" spans="1:18" x14ac:dyDescent="0.25">
      <c r="A9" s="6">
        <v>8</v>
      </c>
      <c r="B9" s="6" t="s">
        <v>117</v>
      </c>
      <c r="C9" s="6" t="s">
        <v>44</v>
      </c>
      <c r="D9" s="6" t="s">
        <v>28</v>
      </c>
      <c r="E9" s="6" t="s">
        <v>29</v>
      </c>
      <c r="F9" s="6" t="s">
        <v>96</v>
      </c>
      <c r="G9" s="6" t="s">
        <v>112</v>
      </c>
      <c r="H9" s="6" t="s">
        <v>97</v>
      </c>
      <c r="I9" s="10">
        <v>147.80638088976619</v>
      </c>
      <c r="J9" s="10">
        <v>147.73470822438651</v>
      </c>
      <c r="K9" s="10">
        <v>199.78013333333331</v>
      </c>
      <c r="L9" s="10">
        <v>272.70876666666669</v>
      </c>
      <c r="M9" s="6" t="s">
        <v>118</v>
      </c>
      <c r="N9" s="6" t="s">
        <v>119</v>
      </c>
      <c r="O9" s="6" t="s">
        <v>120</v>
      </c>
      <c r="P9" s="6" t="s">
        <v>101</v>
      </c>
      <c r="Q9" s="10">
        <v>48.109431090638452</v>
      </c>
      <c r="R9" s="10">
        <v>45.043540593222318</v>
      </c>
    </row>
    <row r="10" spans="1:18" x14ac:dyDescent="0.25">
      <c r="A10" s="8">
        <v>9</v>
      </c>
      <c r="B10" s="8" t="s">
        <v>121</v>
      </c>
      <c r="C10" s="8" t="s">
        <v>44</v>
      </c>
      <c r="D10" s="8" t="s">
        <v>28</v>
      </c>
      <c r="E10" s="8" t="s">
        <v>29</v>
      </c>
      <c r="F10" s="8" t="s">
        <v>96</v>
      </c>
      <c r="G10" s="8" t="s">
        <v>97</v>
      </c>
      <c r="H10" s="8" t="s">
        <v>122</v>
      </c>
      <c r="I10" s="11">
        <v>153.53484415159559</v>
      </c>
      <c r="J10" s="11">
        <v>153.5526617847118</v>
      </c>
      <c r="K10" s="11">
        <v>299.50470000000001</v>
      </c>
      <c r="L10" s="11">
        <v>285.56666666666672</v>
      </c>
      <c r="M10" s="8" t="s">
        <v>123</v>
      </c>
      <c r="N10" s="8" t="s">
        <v>105</v>
      </c>
      <c r="O10" s="8" t="s">
        <v>124</v>
      </c>
      <c r="P10" s="8" t="s">
        <v>125</v>
      </c>
      <c r="Q10" s="11">
        <v>41.136903244122031</v>
      </c>
      <c r="R10" s="11">
        <v>41.353121466683596</v>
      </c>
    </row>
    <row r="11" spans="1:18" x14ac:dyDescent="0.25">
      <c r="A11" s="6">
        <v>10</v>
      </c>
      <c r="B11" s="6" t="s">
        <v>126</v>
      </c>
      <c r="C11" s="6" t="s">
        <v>44</v>
      </c>
      <c r="D11" s="6" t="s">
        <v>28</v>
      </c>
      <c r="E11" s="6" t="s">
        <v>29</v>
      </c>
      <c r="F11" s="6" t="s">
        <v>96</v>
      </c>
      <c r="G11" s="6" t="s">
        <v>122</v>
      </c>
      <c r="H11" s="6" t="s">
        <v>97</v>
      </c>
      <c r="I11" s="10">
        <v>148.4081122812309</v>
      </c>
      <c r="J11" s="10">
        <v>148.16934205197421</v>
      </c>
      <c r="K11" s="10">
        <v>247.26765</v>
      </c>
      <c r="L11" s="10">
        <v>274.35000000000002</v>
      </c>
      <c r="M11" s="6" t="s">
        <v>127</v>
      </c>
      <c r="N11" s="6" t="s">
        <v>128</v>
      </c>
      <c r="O11" s="6" t="s">
        <v>100</v>
      </c>
      <c r="P11" s="6" t="s">
        <v>101</v>
      </c>
      <c r="Q11" s="10">
        <v>47.637753211593449</v>
      </c>
      <c r="R11" s="10">
        <v>44.798056554140558</v>
      </c>
    </row>
    <row r="12" spans="1:18" x14ac:dyDescent="0.25">
      <c r="A12" s="8">
        <v>11</v>
      </c>
      <c r="B12" s="8" t="s">
        <v>129</v>
      </c>
      <c r="C12" s="8" t="s">
        <v>42</v>
      </c>
      <c r="D12" s="8" t="s">
        <v>28</v>
      </c>
      <c r="E12" s="8" t="s">
        <v>29</v>
      </c>
      <c r="F12" s="8" t="s">
        <v>130</v>
      </c>
      <c r="G12" s="8" t="s">
        <v>131</v>
      </c>
      <c r="H12" s="8" t="s">
        <v>131</v>
      </c>
      <c r="I12" s="11">
        <v>143.67832745765901</v>
      </c>
      <c r="J12" s="11">
        <v>143.70610311558761</v>
      </c>
      <c r="K12" s="11">
        <v>241.37365</v>
      </c>
      <c r="L12" s="11">
        <v>241.6157666666667</v>
      </c>
      <c r="M12" s="8" t="s">
        <v>132</v>
      </c>
      <c r="N12" s="8" t="s">
        <v>133</v>
      </c>
      <c r="O12" s="8" t="s">
        <v>134</v>
      </c>
      <c r="P12" s="8" t="s">
        <v>135</v>
      </c>
      <c r="Q12" s="11">
        <v>44.633872553714347</v>
      </c>
      <c r="R12" s="11">
        <v>42.341883574137007</v>
      </c>
    </row>
    <row r="13" spans="1:18" x14ac:dyDescent="0.25">
      <c r="A13" s="6">
        <v>12</v>
      </c>
      <c r="B13" s="6" t="s">
        <v>136</v>
      </c>
      <c r="C13" s="6" t="s">
        <v>44</v>
      </c>
      <c r="D13" s="6" t="s">
        <v>28</v>
      </c>
      <c r="E13" s="6" t="s">
        <v>29</v>
      </c>
      <c r="F13" s="6" t="s">
        <v>130</v>
      </c>
      <c r="G13" s="6" t="s">
        <v>131</v>
      </c>
      <c r="H13" s="6" t="s">
        <v>137</v>
      </c>
      <c r="I13" s="10">
        <v>136.6906978560236</v>
      </c>
      <c r="J13" s="10">
        <v>137.9070606846193</v>
      </c>
      <c r="K13" s="10">
        <v>199.88373333333331</v>
      </c>
      <c r="L13" s="10">
        <v>231.8833333333333</v>
      </c>
      <c r="M13" s="6" t="s">
        <v>132</v>
      </c>
      <c r="N13" s="6" t="s">
        <v>138</v>
      </c>
      <c r="O13" s="6" t="s">
        <v>139</v>
      </c>
      <c r="P13" s="6" t="s">
        <v>140</v>
      </c>
      <c r="Q13" s="10">
        <v>48.732283159784458</v>
      </c>
      <c r="R13" s="10">
        <v>40.295521200628478</v>
      </c>
    </row>
    <row r="14" spans="1:18" x14ac:dyDescent="0.25">
      <c r="A14" s="8">
        <v>13</v>
      </c>
      <c r="B14" s="8" t="s">
        <v>141</v>
      </c>
      <c r="C14" s="8" t="s">
        <v>44</v>
      </c>
      <c r="D14" s="8" t="s">
        <v>28</v>
      </c>
      <c r="E14" s="8" t="s">
        <v>29</v>
      </c>
      <c r="F14" s="8" t="s">
        <v>130</v>
      </c>
      <c r="G14" s="8" t="s">
        <v>137</v>
      </c>
      <c r="H14" s="8" t="s">
        <v>131</v>
      </c>
      <c r="I14" s="11">
        <v>144.86907862959839</v>
      </c>
      <c r="J14" s="11">
        <v>143.72466993648419</v>
      </c>
      <c r="K14" s="11">
        <v>251.7108833333333</v>
      </c>
      <c r="L14" s="11">
        <v>241.6157666666667</v>
      </c>
      <c r="M14" s="8" t="s">
        <v>142</v>
      </c>
      <c r="N14" s="8" t="s">
        <v>143</v>
      </c>
      <c r="O14" s="8" t="s">
        <v>134</v>
      </c>
      <c r="P14" s="8" t="s">
        <v>135</v>
      </c>
      <c r="Q14" s="11">
        <v>40.963129251036513</v>
      </c>
      <c r="R14" s="11">
        <v>42.341899372018943</v>
      </c>
    </row>
    <row r="15" spans="1:18" x14ac:dyDescent="0.25">
      <c r="A15" s="6">
        <v>14</v>
      </c>
      <c r="B15" s="6" t="s">
        <v>144</v>
      </c>
      <c r="C15" s="6" t="s">
        <v>44</v>
      </c>
      <c r="D15" s="6" t="s">
        <v>28</v>
      </c>
      <c r="E15" s="6" t="s">
        <v>29</v>
      </c>
      <c r="F15" s="6" t="s">
        <v>130</v>
      </c>
      <c r="G15" s="6" t="s">
        <v>131</v>
      </c>
      <c r="H15" s="6" t="s">
        <v>145</v>
      </c>
      <c r="I15" s="10">
        <v>123.91859568577109</v>
      </c>
      <c r="J15" s="10">
        <v>123.941936072907</v>
      </c>
      <c r="K15" s="10">
        <v>205.75388333333331</v>
      </c>
      <c r="L15" s="10">
        <v>194.95840000000001</v>
      </c>
      <c r="M15" s="6" t="s">
        <v>146</v>
      </c>
      <c r="N15" s="6" t="s">
        <v>147</v>
      </c>
      <c r="O15" s="6" t="s">
        <v>148</v>
      </c>
      <c r="P15" s="6" t="s">
        <v>149</v>
      </c>
      <c r="Q15" s="10">
        <v>44.923872976769658</v>
      </c>
      <c r="R15" s="10">
        <v>42.762032180854042</v>
      </c>
    </row>
    <row r="16" spans="1:18" x14ac:dyDescent="0.25">
      <c r="A16" s="8">
        <v>15</v>
      </c>
      <c r="B16" s="8" t="s">
        <v>150</v>
      </c>
      <c r="C16" s="8" t="s">
        <v>44</v>
      </c>
      <c r="D16" s="8" t="s">
        <v>28</v>
      </c>
      <c r="E16" s="8" t="s">
        <v>29</v>
      </c>
      <c r="F16" s="8" t="s">
        <v>130</v>
      </c>
      <c r="G16" s="8" t="s">
        <v>145</v>
      </c>
      <c r="H16" s="8" t="s">
        <v>131</v>
      </c>
      <c r="I16" s="11">
        <v>143.71555961314201</v>
      </c>
      <c r="J16" s="11">
        <v>143.70301098845081</v>
      </c>
      <c r="K16" s="11">
        <v>223.04198333333329</v>
      </c>
      <c r="L16" s="11">
        <v>241.6157666666667</v>
      </c>
      <c r="M16" s="8" t="s">
        <v>151</v>
      </c>
      <c r="N16" s="8" t="s">
        <v>152</v>
      </c>
      <c r="O16" s="8" t="s">
        <v>134</v>
      </c>
      <c r="P16" s="8" t="s">
        <v>135</v>
      </c>
      <c r="Q16" s="11">
        <v>46.2946098216972</v>
      </c>
      <c r="R16" s="11">
        <v>42.341452090744298</v>
      </c>
    </row>
    <row r="17" spans="1:18" x14ac:dyDescent="0.25">
      <c r="A17" s="6">
        <v>16</v>
      </c>
      <c r="B17" s="6" t="s">
        <v>153</v>
      </c>
      <c r="C17" s="6" t="s">
        <v>44</v>
      </c>
      <c r="D17" s="6" t="s">
        <v>28</v>
      </c>
      <c r="E17" s="6" t="s">
        <v>29</v>
      </c>
      <c r="F17" s="6" t="s">
        <v>130</v>
      </c>
      <c r="G17" s="6" t="s">
        <v>131</v>
      </c>
      <c r="H17" s="6" t="s">
        <v>154</v>
      </c>
      <c r="I17" s="10">
        <v>152.2392917821083</v>
      </c>
      <c r="J17" s="10">
        <v>153.94759024770309</v>
      </c>
      <c r="K17" s="10">
        <v>276.10219999999998</v>
      </c>
      <c r="L17" s="10">
        <v>291.35971666666671</v>
      </c>
      <c r="M17" s="6" t="s">
        <v>132</v>
      </c>
      <c r="N17" s="6" t="s">
        <v>155</v>
      </c>
      <c r="O17" s="6" t="s">
        <v>156</v>
      </c>
      <c r="P17" s="6" t="s">
        <v>157</v>
      </c>
      <c r="Q17" s="10">
        <v>40.355745492660311</v>
      </c>
      <c r="R17" s="10">
        <v>36.021923037796739</v>
      </c>
    </row>
    <row r="18" spans="1:18" x14ac:dyDescent="0.25">
      <c r="A18" s="8">
        <v>17</v>
      </c>
      <c r="B18" s="8" t="s">
        <v>158</v>
      </c>
      <c r="C18" s="8" t="s">
        <v>44</v>
      </c>
      <c r="D18" s="8" t="s">
        <v>28</v>
      </c>
      <c r="E18" s="8" t="s">
        <v>29</v>
      </c>
      <c r="F18" s="8" t="s">
        <v>130</v>
      </c>
      <c r="G18" s="8" t="s">
        <v>154</v>
      </c>
      <c r="H18" s="8" t="s">
        <v>131</v>
      </c>
      <c r="I18" s="11">
        <v>145.59876206835349</v>
      </c>
      <c r="J18" s="11">
        <v>143.81943712107361</v>
      </c>
      <c r="K18" s="11">
        <v>242.58760000000001</v>
      </c>
      <c r="L18" s="11">
        <v>242.52818333333329</v>
      </c>
      <c r="M18" s="8" t="s">
        <v>159</v>
      </c>
      <c r="N18" s="8" t="s">
        <v>160</v>
      </c>
      <c r="O18" s="8" t="s">
        <v>134</v>
      </c>
      <c r="P18" s="8" t="s">
        <v>161</v>
      </c>
      <c r="Q18" s="11">
        <v>44.70287136285296</v>
      </c>
      <c r="R18" s="11">
        <v>42.185773980476462</v>
      </c>
    </row>
    <row r="19" spans="1:18" x14ac:dyDescent="0.25">
      <c r="A19" s="6">
        <v>18</v>
      </c>
      <c r="B19" s="6" t="s">
        <v>162</v>
      </c>
      <c r="C19" s="6" t="s">
        <v>42</v>
      </c>
      <c r="D19" s="6" t="s">
        <v>28</v>
      </c>
      <c r="E19" s="6" t="s">
        <v>29</v>
      </c>
      <c r="F19" s="6" t="s">
        <v>96</v>
      </c>
      <c r="G19" s="6" t="s">
        <v>103</v>
      </c>
      <c r="H19" s="6" t="s">
        <v>103</v>
      </c>
      <c r="I19" s="10">
        <v>141.5990549680233</v>
      </c>
      <c r="J19" s="10">
        <v>141.66630570695861</v>
      </c>
      <c r="K19" s="10">
        <v>205.6434166666667</v>
      </c>
      <c r="L19" s="10">
        <v>221.15</v>
      </c>
      <c r="M19" s="6" t="s">
        <v>163</v>
      </c>
      <c r="N19" s="6" t="s">
        <v>164</v>
      </c>
      <c r="O19" s="6" t="s">
        <v>106</v>
      </c>
      <c r="P19" s="6" t="s">
        <v>107</v>
      </c>
      <c r="Q19" s="10">
        <v>51.089288821174947</v>
      </c>
      <c r="R19" s="10">
        <v>44.820093416341507</v>
      </c>
    </row>
    <row r="20" spans="1:18" x14ac:dyDescent="0.25">
      <c r="A20" s="8">
        <v>19</v>
      </c>
      <c r="B20" s="8" t="s">
        <v>165</v>
      </c>
      <c r="C20" s="8" t="s">
        <v>44</v>
      </c>
      <c r="D20" s="8" t="s">
        <v>28</v>
      </c>
      <c r="E20" s="8" t="s">
        <v>29</v>
      </c>
      <c r="F20" s="8" t="s">
        <v>96</v>
      </c>
      <c r="G20" s="8" t="s">
        <v>103</v>
      </c>
      <c r="H20" s="8" t="s">
        <v>112</v>
      </c>
      <c r="I20" s="11">
        <v>146.11778022672581</v>
      </c>
      <c r="J20" s="11">
        <v>146.22654761738161</v>
      </c>
      <c r="K20" s="11">
        <v>219.93658333333329</v>
      </c>
      <c r="L20" s="11">
        <v>269.21666666666658</v>
      </c>
      <c r="M20" s="8" t="s">
        <v>166</v>
      </c>
      <c r="N20" s="8" t="s">
        <v>167</v>
      </c>
      <c r="O20" s="8" t="s">
        <v>115</v>
      </c>
      <c r="P20" s="8" t="s">
        <v>116</v>
      </c>
      <c r="Q20" s="11">
        <v>48.977517926050687</v>
      </c>
      <c r="R20" s="11">
        <v>44.857641693697801</v>
      </c>
    </row>
    <row r="21" spans="1:18" x14ac:dyDescent="0.25">
      <c r="A21" s="6">
        <v>20</v>
      </c>
      <c r="B21" s="6" t="s">
        <v>168</v>
      </c>
      <c r="C21" s="6" t="s">
        <v>44</v>
      </c>
      <c r="D21" s="6" t="s">
        <v>28</v>
      </c>
      <c r="E21" s="6" t="s">
        <v>29</v>
      </c>
      <c r="F21" s="6" t="s">
        <v>96</v>
      </c>
      <c r="G21" s="6" t="s">
        <v>112</v>
      </c>
      <c r="H21" s="6" t="s">
        <v>103</v>
      </c>
      <c r="I21" s="10">
        <v>141.7178099447946</v>
      </c>
      <c r="J21" s="10">
        <v>141.71372942643819</v>
      </c>
      <c r="K21" s="10">
        <v>186.11555000000001</v>
      </c>
      <c r="L21" s="10">
        <v>221.15</v>
      </c>
      <c r="M21" s="6" t="s">
        <v>169</v>
      </c>
      <c r="N21" s="6" t="s">
        <v>170</v>
      </c>
      <c r="O21" s="6" t="s">
        <v>106</v>
      </c>
      <c r="P21" s="6" t="s">
        <v>107</v>
      </c>
      <c r="Q21" s="10">
        <v>48.979847646940023</v>
      </c>
      <c r="R21" s="10">
        <v>44.835120737011053</v>
      </c>
    </row>
    <row r="22" spans="1:18" x14ac:dyDescent="0.25">
      <c r="A22" s="8">
        <v>21</v>
      </c>
      <c r="B22" s="8" t="s">
        <v>171</v>
      </c>
      <c r="C22" s="8" t="s">
        <v>44</v>
      </c>
      <c r="D22" s="8" t="s">
        <v>28</v>
      </c>
      <c r="E22" s="8" t="s">
        <v>29</v>
      </c>
      <c r="F22" s="8" t="s">
        <v>96</v>
      </c>
      <c r="G22" s="8" t="s">
        <v>103</v>
      </c>
      <c r="H22" s="8" t="s">
        <v>122</v>
      </c>
      <c r="I22" s="11">
        <v>153.5802936448807</v>
      </c>
      <c r="J22" s="11">
        <v>153.58803621196651</v>
      </c>
      <c r="K22" s="11">
        <v>235.73150000000001</v>
      </c>
      <c r="L22" s="11">
        <v>285.56666666666672</v>
      </c>
      <c r="M22" s="8" t="s">
        <v>172</v>
      </c>
      <c r="N22" s="8" t="s">
        <v>164</v>
      </c>
      <c r="O22" s="8" t="s">
        <v>124</v>
      </c>
      <c r="P22" s="8" t="s">
        <v>125</v>
      </c>
      <c r="Q22" s="11">
        <v>47.722150024085572</v>
      </c>
      <c r="R22" s="11">
        <v>41.362781478677611</v>
      </c>
    </row>
    <row r="23" spans="1:18" x14ac:dyDescent="0.25">
      <c r="A23" s="6">
        <v>22</v>
      </c>
      <c r="B23" s="6" t="s">
        <v>173</v>
      </c>
      <c r="C23" s="6" t="s">
        <v>44</v>
      </c>
      <c r="D23" s="6" t="s">
        <v>28</v>
      </c>
      <c r="E23" s="6" t="s">
        <v>29</v>
      </c>
      <c r="F23" s="6" t="s">
        <v>96</v>
      </c>
      <c r="G23" s="6" t="s">
        <v>122</v>
      </c>
      <c r="H23" s="6" t="s">
        <v>103</v>
      </c>
      <c r="I23" s="10">
        <v>141.83173688616381</v>
      </c>
      <c r="J23" s="10">
        <v>141.67339805160449</v>
      </c>
      <c r="K23" s="10">
        <v>221.1224333333333</v>
      </c>
      <c r="L23" s="10">
        <v>221.15</v>
      </c>
      <c r="M23" s="6" t="s">
        <v>174</v>
      </c>
      <c r="N23" s="6" t="s">
        <v>175</v>
      </c>
      <c r="O23" s="6" t="s">
        <v>106</v>
      </c>
      <c r="P23" s="6" t="s">
        <v>107</v>
      </c>
      <c r="Q23" s="10">
        <v>49.270305864703857</v>
      </c>
      <c r="R23" s="10">
        <v>44.822340792516592</v>
      </c>
    </row>
    <row r="24" spans="1:18" x14ac:dyDescent="0.25">
      <c r="A24" s="8">
        <v>23</v>
      </c>
      <c r="B24" s="8" t="s">
        <v>176</v>
      </c>
      <c r="C24" s="8" t="s">
        <v>42</v>
      </c>
      <c r="D24" s="8" t="s">
        <v>28</v>
      </c>
      <c r="E24" s="8" t="s">
        <v>29</v>
      </c>
      <c r="F24" s="8" t="s">
        <v>130</v>
      </c>
      <c r="G24" s="8" t="s">
        <v>137</v>
      </c>
      <c r="H24" s="8" t="s">
        <v>137</v>
      </c>
      <c r="I24" s="11">
        <v>137.84785127876921</v>
      </c>
      <c r="J24" s="11">
        <v>137.9112374368539</v>
      </c>
      <c r="K24" s="11">
        <v>223.05115000000001</v>
      </c>
      <c r="L24" s="11">
        <v>231.8833333333333</v>
      </c>
      <c r="M24" s="8" t="s">
        <v>142</v>
      </c>
      <c r="N24" s="8" t="s">
        <v>177</v>
      </c>
      <c r="O24" s="8" t="s">
        <v>139</v>
      </c>
      <c r="P24" s="8" t="s">
        <v>140</v>
      </c>
      <c r="Q24" s="11">
        <v>43.489208200130058</v>
      </c>
      <c r="R24" s="11">
        <v>40.29129762507425</v>
      </c>
    </row>
    <row r="25" spans="1:18" x14ac:dyDescent="0.25">
      <c r="A25" s="6">
        <v>24</v>
      </c>
      <c r="B25" s="6" t="s">
        <v>178</v>
      </c>
      <c r="C25" s="6" t="s">
        <v>44</v>
      </c>
      <c r="D25" s="6" t="s">
        <v>28</v>
      </c>
      <c r="E25" s="6" t="s">
        <v>29</v>
      </c>
      <c r="F25" s="6" t="s">
        <v>130</v>
      </c>
      <c r="G25" s="6" t="s">
        <v>137</v>
      </c>
      <c r="H25" s="6" t="s">
        <v>145</v>
      </c>
      <c r="I25" s="10">
        <v>125.021511754306</v>
      </c>
      <c r="J25" s="10">
        <v>123.8871365945718</v>
      </c>
      <c r="K25" s="10">
        <v>207.13586666666669</v>
      </c>
      <c r="L25" s="10">
        <v>194.5326</v>
      </c>
      <c r="M25" s="6" t="s">
        <v>179</v>
      </c>
      <c r="N25" s="6" t="s">
        <v>143</v>
      </c>
      <c r="O25" s="6" t="s">
        <v>148</v>
      </c>
      <c r="P25" s="6" t="s">
        <v>180</v>
      </c>
      <c r="Q25" s="10">
        <v>41.521588856960847</v>
      </c>
      <c r="R25" s="10">
        <v>42.835212207537772</v>
      </c>
    </row>
    <row r="26" spans="1:18" x14ac:dyDescent="0.25">
      <c r="A26" s="8">
        <v>25</v>
      </c>
      <c r="B26" s="8" t="s">
        <v>181</v>
      </c>
      <c r="C26" s="8" t="s">
        <v>44</v>
      </c>
      <c r="D26" s="8" t="s">
        <v>28</v>
      </c>
      <c r="E26" s="8" t="s">
        <v>29</v>
      </c>
      <c r="F26" s="8" t="s">
        <v>130</v>
      </c>
      <c r="G26" s="8" t="s">
        <v>145</v>
      </c>
      <c r="H26" s="8" t="s">
        <v>137</v>
      </c>
      <c r="I26" s="11">
        <v>136.71688857972779</v>
      </c>
      <c r="J26" s="11">
        <v>137.90825458617789</v>
      </c>
      <c r="K26" s="11">
        <v>189.99105</v>
      </c>
      <c r="L26" s="11">
        <v>231.8833333333333</v>
      </c>
      <c r="M26" s="8" t="s">
        <v>151</v>
      </c>
      <c r="N26" s="8" t="s">
        <v>182</v>
      </c>
      <c r="O26" s="8" t="s">
        <v>139</v>
      </c>
      <c r="P26" s="8" t="s">
        <v>140</v>
      </c>
      <c r="Q26" s="11">
        <v>50.214719327104461</v>
      </c>
      <c r="R26" s="11">
        <v>40.296367138208907</v>
      </c>
    </row>
    <row r="27" spans="1:18" x14ac:dyDescent="0.25">
      <c r="A27" s="6">
        <v>26</v>
      </c>
      <c r="B27" s="6" t="s">
        <v>183</v>
      </c>
      <c r="C27" s="6" t="s">
        <v>44</v>
      </c>
      <c r="D27" s="6" t="s">
        <v>28</v>
      </c>
      <c r="E27" s="6" t="s">
        <v>29</v>
      </c>
      <c r="F27" s="6" t="s">
        <v>130</v>
      </c>
      <c r="G27" s="6" t="s">
        <v>137</v>
      </c>
      <c r="H27" s="6" t="s">
        <v>154</v>
      </c>
      <c r="I27" s="10">
        <v>153.3729275658394</v>
      </c>
      <c r="J27" s="10">
        <v>154.06343517645311</v>
      </c>
      <c r="K27" s="10">
        <v>281.08690000000001</v>
      </c>
      <c r="L27" s="10">
        <v>291.75</v>
      </c>
      <c r="M27" s="6" t="s">
        <v>142</v>
      </c>
      <c r="N27" s="6" t="s">
        <v>184</v>
      </c>
      <c r="O27" s="6" t="s">
        <v>156</v>
      </c>
      <c r="P27" s="6" t="s">
        <v>185</v>
      </c>
      <c r="Q27" s="10">
        <v>38.128965801600678</v>
      </c>
      <c r="R27" s="10">
        <v>35.989741808256568</v>
      </c>
    </row>
    <row r="28" spans="1:18" x14ac:dyDescent="0.25">
      <c r="A28" s="8">
        <v>27</v>
      </c>
      <c r="B28" s="8" t="s">
        <v>186</v>
      </c>
      <c r="C28" s="8" t="s">
        <v>44</v>
      </c>
      <c r="D28" s="8" t="s">
        <v>28</v>
      </c>
      <c r="E28" s="8" t="s">
        <v>29</v>
      </c>
      <c r="F28" s="8" t="s">
        <v>130</v>
      </c>
      <c r="G28" s="8" t="s">
        <v>154</v>
      </c>
      <c r="H28" s="8" t="s">
        <v>137</v>
      </c>
      <c r="I28" s="11">
        <v>138.2944646000696</v>
      </c>
      <c r="J28" s="11">
        <v>137.8693466671948</v>
      </c>
      <c r="K28" s="11">
        <v>219.90880000000001</v>
      </c>
      <c r="L28" s="11">
        <v>231.8833333333333</v>
      </c>
      <c r="M28" s="8" t="s">
        <v>159</v>
      </c>
      <c r="N28" s="8" t="s">
        <v>187</v>
      </c>
      <c r="O28" s="8" t="s">
        <v>139</v>
      </c>
      <c r="P28" s="8" t="s">
        <v>140</v>
      </c>
      <c r="Q28" s="11">
        <v>46.483728760311841</v>
      </c>
      <c r="R28" s="11">
        <v>40.286623077903108</v>
      </c>
    </row>
    <row r="29" spans="1:18" x14ac:dyDescent="0.25">
      <c r="A29" s="6">
        <v>28</v>
      </c>
      <c r="B29" s="6" t="s">
        <v>188</v>
      </c>
      <c r="C29" s="6" t="s">
        <v>42</v>
      </c>
      <c r="D29" s="6" t="s">
        <v>28</v>
      </c>
      <c r="E29" s="6" t="s">
        <v>29</v>
      </c>
      <c r="F29" s="6" t="s">
        <v>96</v>
      </c>
      <c r="G29" s="6" t="s">
        <v>112</v>
      </c>
      <c r="H29" s="6" t="s">
        <v>112</v>
      </c>
      <c r="I29" s="10">
        <v>145.90644227428081</v>
      </c>
      <c r="J29" s="10">
        <v>145.99433069945931</v>
      </c>
      <c r="K29" s="10">
        <v>195.40219999999999</v>
      </c>
      <c r="L29" s="10">
        <v>266.86321666666669</v>
      </c>
      <c r="M29" s="6" t="s">
        <v>189</v>
      </c>
      <c r="N29" s="6" t="s">
        <v>190</v>
      </c>
      <c r="O29" s="6" t="s">
        <v>115</v>
      </c>
      <c r="P29" s="6" t="s">
        <v>191</v>
      </c>
      <c r="Q29" s="10">
        <v>48.032687059895139</v>
      </c>
      <c r="R29" s="10">
        <v>45.342764687473462</v>
      </c>
    </row>
    <row r="30" spans="1:18" x14ac:dyDescent="0.25">
      <c r="A30" s="8">
        <v>29</v>
      </c>
      <c r="B30" s="8" t="s">
        <v>192</v>
      </c>
      <c r="C30" s="8" t="s">
        <v>44</v>
      </c>
      <c r="D30" s="8" t="s">
        <v>28</v>
      </c>
      <c r="E30" s="8" t="s">
        <v>29</v>
      </c>
      <c r="F30" s="8" t="s">
        <v>96</v>
      </c>
      <c r="G30" s="8" t="s">
        <v>112</v>
      </c>
      <c r="H30" s="8" t="s">
        <v>122</v>
      </c>
      <c r="I30" s="11">
        <v>148.61845633311091</v>
      </c>
      <c r="J30" s="11">
        <v>148.55222316255839</v>
      </c>
      <c r="K30" s="11">
        <v>202.45428333333331</v>
      </c>
      <c r="L30" s="11">
        <v>266.73758333333342</v>
      </c>
      <c r="M30" s="8" t="s">
        <v>118</v>
      </c>
      <c r="N30" s="8" t="s">
        <v>170</v>
      </c>
      <c r="O30" s="8" t="s">
        <v>193</v>
      </c>
      <c r="P30" s="8" t="s">
        <v>125</v>
      </c>
      <c r="Q30" s="11">
        <v>47.685896180996579</v>
      </c>
      <c r="R30" s="11">
        <v>42.944529784860279</v>
      </c>
    </row>
    <row r="31" spans="1:18" x14ac:dyDescent="0.25">
      <c r="A31" s="6">
        <v>30</v>
      </c>
      <c r="B31" s="6" t="s">
        <v>194</v>
      </c>
      <c r="C31" s="6" t="s">
        <v>44</v>
      </c>
      <c r="D31" s="6" t="s">
        <v>28</v>
      </c>
      <c r="E31" s="6" t="s">
        <v>29</v>
      </c>
      <c r="F31" s="6" t="s">
        <v>96</v>
      </c>
      <c r="G31" s="6" t="s">
        <v>122</v>
      </c>
      <c r="H31" s="6" t="s">
        <v>112</v>
      </c>
      <c r="I31" s="10">
        <v>145.9773325040056</v>
      </c>
      <c r="J31" s="10">
        <v>145.88933639903391</v>
      </c>
      <c r="K31" s="10">
        <v>255.74388333333329</v>
      </c>
      <c r="L31" s="10">
        <v>265.62998333333331</v>
      </c>
      <c r="M31" s="6" t="s">
        <v>195</v>
      </c>
      <c r="N31" s="6" t="s">
        <v>196</v>
      </c>
      <c r="O31" s="6" t="s">
        <v>115</v>
      </c>
      <c r="P31" s="6" t="s">
        <v>197</v>
      </c>
      <c r="Q31" s="10">
        <v>47.245229900420597</v>
      </c>
      <c r="R31" s="10">
        <v>45.594971634872877</v>
      </c>
    </row>
    <row r="32" spans="1:18" x14ac:dyDescent="0.25">
      <c r="A32" s="8">
        <v>31</v>
      </c>
      <c r="B32" s="8" t="s">
        <v>198</v>
      </c>
      <c r="C32" s="8" t="s">
        <v>42</v>
      </c>
      <c r="D32" s="8" t="s">
        <v>28</v>
      </c>
      <c r="E32" s="8" t="s">
        <v>29</v>
      </c>
      <c r="F32" s="8" t="s">
        <v>130</v>
      </c>
      <c r="G32" s="8" t="s">
        <v>145</v>
      </c>
      <c r="H32" s="8" t="s">
        <v>145</v>
      </c>
      <c r="I32" s="11">
        <v>123.9926446469637</v>
      </c>
      <c r="J32" s="11">
        <v>123.9802750677086</v>
      </c>
      <c r="K32" s="11">
        <v>187.65295</v>
      </c>
      <c r="L32" s="11">
        <v>194.95840000000001</v>
      </c>
      <c r="M32" s="8" t="s">
        <v>199</v>
      </c>
      <c r="N32" s="8" t="s">
        <v>200</v>
      </c>
      <c r="O32" s="8" t="s">
        <v>148</v>
      </c>
      <c r="P32" s="8" t="s">
        <v>149</v>
      </c>
      <c r="Q32" s="11">
        <v>46.882858863668829</v>
      </c>
      <c r="R32" s="11">
        <v>42.761694453487323</v>
      </c>
    </row>
    <row r="33" spans="1:18" x14ac:dyDescent="0.25">
      <c r="A33" s="6">
        <v>34</v>
      </c>
      <c r="B33" s="6" t="s">
        <v>210</v>
      </c>
      <c r="C33" s="6" t="s">
        <v>44</v>
      </c>
      <c r="D33" s="6" t="s">
        <v>28</v>
      </c>
      <c r="E33" s="6" t="s">
        <v>29</v>
      </c>
      <c r="F33" s="6" t="s">
        <v>130</v>
      </c>
      <c r="G33" s="6" t="s">
        <v>145</v>
      </c>
      <c r="H33" s="6" t="s">
        <v>154</v>
      </c>
      <c r="I33" s="10">
        <v>152.39467948024659</v>
      </c>
      <c r="J33" s="10">
        <v>154.03235985141359</v>
      </c>
      <c r="K33" s="10">
        <v>252.84703333333329</v>
      </c>
      <c r="L33" s="10">
        <v>291.75</v>
      </c>
      <c r="M33" s="6" t="s">
        <v>151</v>
      </c>
      <c r="N33" s="6" t="s">
        <v>211</v>
      </c>
      <c r="O33" s="6" t="s">
        <v>156</v>
      </c>
      <c r="P33" s="6" t="s">
        <v>185</v>
      </c>
      <c r="Q33" s="10">
        <v>42.287934939916333</v>
      </c>
      <c r="R33" s="10">
        <v>35.987183332600232</v>
      </c>
    </row>
    <row r="34" spans="1:18" x14ac:dyDescent="0.25">
      <c r="A34" s="8">
        <v>35</v>
      </c>
      <c r="B34" s="8" t="s">
        <v>212</v>
      </c>
      <c r="C34" s="8" t="s">
        <v>44</v>
      </c>
      <c r="D34" s="8" t="s">
        <v>28</v>
      </c>
      <c r="E34" s="8" t="s">
        <v>29</v>
      </c>
      <c r="F34" s="8" t="s">
        <v>130</v>
      </c>
      <c r="G34" s="8" t="s">
        <v>154</v>
      </c>
      <c r="H34" s="8" t="s">
        <v>145</v>
      </c>
      <c r="I34" s="11">
        <v>125.7416693023907</v>
      </c>
      <c r="J34" s="11">
        <v>123.9823800042885</v>
      </c>
      <c r="K34" s="11">
        <v>194.9381166666667</v>
      </c>
      <c r="L34" s="11">
        <v>194.95840000000001</v>
      </c>
      <c r="M34" s="8" t="s">
        <v>213</v>
      </c>
      <c r="N34" s="8" t="s">
        <v>160</v>
      </c>
      <c r="O34" s="8" t="s">
        <v>148</v>
      </c>
      <c r="P34" s="8" t="s">
        <v>149</v>
      </c>
      <c r="Q34" s="11">
        <v>45.475102570591687</v>
      </c>
      <c r="R34" s="11">
        <v>42.768923453873597</v>
      </c>
    </row>
    <row r="35" spans="1:18" x14ac:dyDescent="0.25">
      <c r="A35" s="6">
        <v>51</v>
      </c>
      <c r="B35" s="6" t="s">
        <v>281</v>
      </c>
      <c r="C35" s="6" t="s">
        <v>42</v>
      </c>
      <c r="D35" s="6" t="s">
        <v>28</v>
      </c>
      <c r="E35" s="6" t="s">
        <v>29</v>
      </c>
      <c r="F35" s="6" t="s">
        <v>96</v>
      </c>
      <c r="G35" s="6" t="s">
        <v>122</v>
      </c>
      <c r="H35" s="6" t="s">
        <v>122</v>
      </c>
      <c r="I35" s="10">
        <v>153.67647670508151</v>
      </c>
      <c r="J35" s="10">
        <v>153.53074027842979</v>
      </c>
      <c r="K35" s="10">
        <v>265.81493333333327</v>
      </c>
      <c r="L35" s="10">
        <v>285.56666666666672</v>
      </c>
      <c r="M35" s="6" t="s">
        <v>282</v>
      </c>
      <c r="N35" s="6" t="s">
        <v>175</v>
      </c>
      <c r="O35" s="6" t="s">
        <v>124</v>
      </c>
      <c r="P35" s="6" t="s">
        <v>125</v>
      </c>
      <c r="Q35" s="10">
        <v>45.911373665924373</v>
      </c>
      <c r="R35" s="10">
        <v>41.347135164429552</v>
      </c>
    </row>
    <row r="36" spans="1:18" x14ac:dyDescent="0.25">
      <c r="A36" s="8">
        <v>52</v>
      </c>
      <c r="B36" s="8" t="s">
        <v>283</v>
      </c>
      <c r="C36" s="8" t="s">
        <v>42</v>
      </c>
      <c r="D36" s="8" t="s">
        <v>28</v>
      </c>
      <c r="E36" s="8" t="s">
        <v>29</v>
      </c>
      <c r="F36" s="8" t="s">
        <v>130</v>
      </c>
      <c r="G36" s="8" t="s">
        <v>154</v>
      </c>
      <c r="H36" s="8" t="s">
        <v>154</v>
      </c>
      <c r="I36" s="11">
        <v>151.56015677624401</v>
      </c>
      <c r="J36" s="11">
        <v>152.10930530550161</v>
      </c>
      <c r="K36" s="11">
        <v>263.95294999999999</v>
      </c>
      <c r="L36" s="11">
        <v>286.34036666666663</v>
      </c>
      <c r="M36" s="8" t="s">
        <v>284</v>
      </c>
      <c r="N36" s="8" t="s">
        <v>285</v>
      </c>
      <c r="O36" s="8" t="s">
        <v>156</v>
      </c>
      <c r="P36" s="8" t="s">
        <v>286</v>
      </c>
      <c r="Q36" s="11">
        <v>42.410120530327511</v>
      </c>
      <c r="R36" s="11">
        <v>36.293607322885208</v>
      </c>
    </row>
    <row r="39" spans="1:18" ht="27.95" customHeight="1" x14ac:dyDescent="0.25">
      <c r="A39" s="55" t="s">
        <v>368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</row>
    <row r="40" spans="1:18" ht="3.9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2" spans="1:18" ht="30" x14ac:dyDescent="0.25">
      <c r="A42" s="9" t="s">
        <v>59</v>
      </c>
      <c r="B42" s="9" t="s">
        <v>60</v>
      </c>
      <c r="C42" s="9" t="s">
        <v>292</v>
      </c>
      <c r="D42" s="9" t="s">
        <v>24</v>
      </c>
      <c r="E42" s="9" t="s">
        <v>61</v>
      </c>
      <c r="F42" s="9" t="s">
        <v>62</v>
      </c>
      <c r="G42" s="9" t="s">
        <v>293</v>
      </c>
      <c r="H42" s="9" t="s">
        <v>294</v>
      </c>
      <c r="I42" s="9" t="s">
        <v>295</v>
      </c>
      <c r="J42" s="9" t="s">
        <v>296</v>
      </c>
      <c r="K42" s="9" t="s">
        <v>297</v>
      </c>
      <c r="L42" s="9" t="s">
        <v>298</v>
      </c>
      <c r="M42" s="9" t="s">
        <v>299</v>
      </c>
    </row>
    <row r="43" spans="1:18" x14ac:dyDescent="0.25">
      <c r="A43" s="6">
        <v>4</v>
      </c>
      <c r="B43" s="6" t="s">
        <v>95</v>
      </c>
      <c r="C43" s="6" t="s">
        <v>300</v>
      </c>
      <c r="D43" s="6" t="s">
        <v>28</v>
      </c>
      <c r="E43" s="6" t="s">
        <v>29</v>
      </c>
      <c r="F43" s="6" t="s">
        <v>96</v>
      </c>
      <c r="G43" s="10">
        <v>0</v>
      </c>
      <c r="H43" s="10">
        <v>25.883333333333329</v>
      </c>
      <c r="I43" s="10">
        <v>8.15</v>
      </c>
      <c r="J43" s="10">
        <v>8.0166666666666675</v>
      </c>
      <c r="K43" s="10">
        <v>55.883333333333333</v>
      </c>
      <c r="L43" s="10">
        <v>40.116666666666667</v>
      </c>
      <c r="M43" s="10">
        <v>102.3936333333333</v>
      </c>
    </row>
    <row r="44" spans="1:18" x14ac:dyDescent="0.25">
      <c r="A44" s="8">
        <v>4</v>
      </c>
      <c r="B44" s="8" t="s">
        <v>95</v>
      </c>
      <c r="C44" s="8" t="s">
        <v>301</v>
      </c>
      <c r="D44" s="8" t="s">
        <v>28</v>
      </c>
      <c r="E44" s="8" t="s">
        <v>29</v>
      </c>
      <c r="F44" s="8" t="s">
        <v>96</v>
      </c>
      <c r="G44" s="11">
        <v>0</v>
      </c>
      <c r="H44" s="11">
        <v>69.483333333333334</v>
      </c>
      <c r="I44" s="11">
        <v>9.9499999999999993</v>
      </c>
      <c r="J44" s="11">
        <v>1.716666666666667</v>
      </c>
      <c r="K44" s="11">
        <v>25.133333333333329</v>
      </c>
      <c r="L44" s="11">
        <v>23.43333333333333</v>
      </c>
      <c r="M44" s="11">
        <v>144.6333333333333</v>
      </c>
    </row>
    <row r="45" spans="1:18" x14ac:dyDescent="0.25">
      <c r="A45" s="6">
        <v>5</v>
      </c>
      <c r="B45" s="6" t="s">
        <v>102</v>
      </c>
      <c r="C45" s="6" t="s">
        <v>300</v>
      </c>
      <c r="D45" s="6" t="s">
        <v>28</v>
      </c>
      <c r="E45" s="6" t="s">
        <v>29</v>
      </c>
      <c r="F45" s="6" t="s">
        <v>96</v>
      </c>
      <c r="G45" s="10">
        <v>0</v>
      </c>
      <c r="H45" s="10">
        <v>25.883333333333329</v>
      </c>
      <c r="I45" s="10">
        <v>4.9333333333333336</v>
      </c>
      <c r="J45" s="10">
        <v>5.9333333333333336</v>
      </c>
      <c r="K45" s="10">
        <v>52.333333333333343</v>
      </c>
      <c r="L45" s="10">
        <v>37.574966666666668</v>
      </c>
      <c r="M45" s="10">
        <v>82.933616666666666</v>
      </c>
    </row>
    <row r="46" spans="1:18" x14ac:dyDescent="0.25">
      <c r="A46" s="8">
        <v>5</v>
      </c>
      <c r="B46" s="8" t="s">
        <v>102</v>
      </c>
      <c r="C46" s="8" t="s">
        <v>301</v>
      </c>
      <c r="D46" s="8" t="s">
        <v>28</v>
      </c>
      <c r="E46" s="8" t="s">
        <v>29</v>
      </c>
      <c r="F46" s="8" t="s">
        <v>96</v>
      </c>
      <c r="G46" s="11">
        <v>0</v>
      </c>
      <c r="H46" s="11">
        <v>31.8</v>
      </c>
      <c r="I46" s="11">
        <v>0</v>
      </c>
      <c r="J46" s="11">
        <v>1.5</v>
      </c>
      <c r="K46" s="11">
        <v>30.466666666666669</v>
      </c>
      <c r="L46" s="11">
        <v>23</v>
      </c>
      <c r="M46" s="11">
        <v>134.3833333333333</v>
      </c>
    </row>
    <row r="47" spans="1:18" x14ac:dyDescent="0.25">
      <c r="A47" s="6">
        <v>6</v>
      </c>
      <c r="B47" s="6" t="s">
        <v>108</v>
      </c>
      <c r="C47" s="6" t="s">
        <v>300</v>
      </c>
      <c r="D47" s="6" t="s">
        <v>28</v>
      </c>
      <c r="E47" s="6" t="s">
        <v>29</v>
      </c>
      <c r="F47" s="6" t="s">
        <v>96</v>
      </c>
      <c r="G47" s="10">
        <v>0</v>
      </c>
      <c r="H47" s="10">
        <v>30.18333333333333</v>
      </c>
      <c r="I47" s="10">
        <v>14.29151666666667</v>
      </c>
      <c r="J47" s="10">
        <v>2.1</v>
      </c>
      <c r="K47" s="10">
        <v>48.092233333333333</v>
      </c>
      <c r="L47" s="10">
        <v>33.450000000000003</v>
      </c>
      <c r="M47" s="10">
        <v>93.4</v>
      </c>
    </row>
    <row r="48" spans="1:18" x14ac:dyDescent="0.25">
      <c r="A48" s="8">
        <v>6</v>
      </c>
      <c r="B48" s="8" t="s">
        <v>108</v>
      </c>
      <c r="C48" s="8" t="s">
        <v>301</v>
      </c>
      <c r="D48" s="8" t="s">
        <v>28</v>
      </c>
      <c r="E48" s="8" t="s">
        <v>29</v>
      </c>
      <c r="F48" s="8" t="s">
        <v>96</v>
      </c>
      <c r="G48" s="11">
        <v>0</v>
      </c>
      <c r="H48" s="11">
        <v>69.483333333333334</v>
      </c>
      <c r="I48" s="11">
        <v>9.9499999999999993</v>
      </c>
      <c r="J48" s="11">
        <v>1.716666666666667</v>
      </c>
      <c r="K48" s="11">
        <v>25.133333333333329</v>
      </c>
      <c r="L48" s="11">
        <v>23.43333333333333</v>
      </c>
      <c r="M48" s="11">
        <v>144.6333333333333</v>
      </c>
    </row>
    <row r="49" spans="1:13" x14ac:dyDescent="0.25">
      <c r="A49" s="6">
        <v>7</v>
      </c>
      <c r="B49" s="6" t="s">
        <v>111</v>
      </c>
      <c r="C49" s="6" t="s">
        <v>300</v>
      </c>
      <c r="D49" s="6" t="s">
        <v>28</v>
      </c>
      <c r="E49" s="6" t="s">
        <v>29</v>
      </c>
      <c r="F49" s="6" t="s">
        <v>96</v>
      </c>
      <c r="G49" s="10">
        <v>0</v>
      </c>
      <c r="H49" s="10">
        <v>29.40441666666667</v>
      </c>
      <c r="I49" s="10">
        <v>9.2371500000000015</v>
      </c>
      <c r="J49" s="10">
        <v>8.0166666666666675</v>
      </c>
      <c r="K49" s="10">
        <v>55.05</v>
      </c>
      <c r="L49" s="10">
        <v>38.85</v>
      </c>
      <c r="M49" s="10">
        <v>92.333333333333329</v>
      </c>
    </row>
    <row r="50" spans="1:13" x14ac:dyDescent="0.25">
      <c r="A50" s="8">
        <v>7</v>
      </c>
      <c r="B50" s="8" t="s">
        <v>111</v>
      </c>
      <c r="C50" s="8" t="s">
        <v>301</v>
      </c>
      <c r="D50" s="8" t="s">
        <v>28</v>
      </c>
      <c r="E50" s="8" t="s">
        <v>29</v>
      </c>
      <c r="F50" s="8" t="s">
        <v>96</v>
      </c>
      <c r="G50" s="11">
        <v>0</v>
      </c>
      <c r="H50" s="11">
        <v>71.083333333333329</v>
      </c>
      <c r="I50" s="11">
        <v>4.05</v>
      </c>
      <c r="J50" s="11">
        <v>11.6</v>
      </c>
      <c r="K50" s="11">
        <v>38.68333333333333</v>
      </c>
      <c r="L50" s="11">
        <v>26.81666666666667</v>
      </c>
      <c r="M50" s="11">
        <v>116.98333333333331</v>
      </c>
    </row>
    <row r="51" spans="1:13" x14ac:dyDescent="0.25">
      <c r="A51" s="6">
        <v>8</v>
      </c>
      <c r="B51" s="6" t="s">
        <v>117</v>
      </c>
      <c r="C51" s="6" t="s">
        <v>300</v>
      </c>
      <c r="D51" s="6" t="s">
        <v>28</v>
      </c>
      <c r="E51" s="6" t="s">
        <v>29</v>
      </c>
      <c r="F51" s="6" t="s">
        <v>96</v>
      </c>
      <c r="G51" s="10">
        <v>0</v>
      </c>
      <c r="H51" s="10">
        <v>12.03333333333333</v>
      </c>
      <c r="I51" s="10">
        <v>4.75</v>
      </c>
      <c r="J51" s="10">
        <v>0</v>
      </c>
      <c r="K51" s="10">
        <v>46.9</v>
      </c>
      <c r="L51" s="10">
        <v>35.549999999999997</v>
      </c>
      <c r="M51" s="10">
        <v>100.5468</v>
      </c>
    </row>
    <row r="52" spans="1:13" x14ac:dyDescent="0.25">
      <c r="A52" s="8">
        <v>8</v>
      </c>
      <c r="B52" s="8" t="s">
        <v>117</v>
      </c>
      <c r="C52" s="8" t="s">
        <v>301</v>
      </c>
      <c r="D52" s="8" t="s">
        <v>28</v>
      </c>
      <c r="E52" s="8" t="s">
        <v>29</v>
      </c>
      <c r="F52" s="8" t="s">
        <v>96</v>
      </c>
      <c r="G52" s="11">
        <v>0</v>
      </c>
      <c r="H52" s="11">
        <v>69.483333333333334</v>
      </c>
      <c r="I52" s="11">
        <v>9.9499999999999993</v>
      </c>
      <c r="J52" s="11">
        <v>1.2666666666666671</v>
      </c>
      <c r="K52" s="11">
        <v>25.12543333333333</v>
      </c>
      <c r="L52" s="11">
        <v>23.43333333333333</v>
      </c>
      <c r="M52" s="11">
        <v>143.44999999999999</v>
      </c>
    </row>
    <row r="53" spans="1:13" x14ac:dyDescent="0.25">
      <c r="A53" s="6">
        <v>9</v>
      </c>
      <c r="B53" s="6" t="s">
        <v>121</v>
      </c>
      <c r="C53" s="6" t="s">
        <v>300</v>
      </c>
      <c r="D53" s="6" t="s">
        <v>28</v>
      </c>
      <c r="E53" s="6" t="s">
        <v>29</v>
      </c>
      <c r="F53" s="6" t="s">
        <v>96</v>
      </c>
      <c r="G53" s="10">
        <v>0</v>
      </c>
      <c r="H53" s="10">
        <v>68.95</v>
      </c>
      <c r="I53" s="10">
        <v>8.15</v>
      </c>
      <c r="J53" s="10">
        <v>8.0166666666666675</v>
      </c>
      <c r="K53" s="10">
        <v>58.3</v>
      </c>
      <c r="L53" s="10">
        <v>42.616666666666667</v>
      </c>
      <c r="M53" s="10">
        <v>113.4713666666667</v>
      </c>
    </row>
    <row r="54" spans="1:13" x14ac:dyDescent="0.25">
      <c r="A54" s="8">
        <v>9</v>
      </c>
      <c r="B54" s="8" t="s">
        <v>121</v>
      </c>
      <c r="C54" s="8" t="s">
        <v>301</v>
      </c>
      <c r="D54" s="8" t="s">
        <v>28</v>
      </c>
      <c r="E54" s="8" t="s">
        <v>29</v>
      </c>
      <c r="F54" s="8" t="s">
        <v>96</v>
      </c>
      <c r="G54" s="11">
        <v>0</v>
      </c>
      <c r="H54" s="11">
        <v>48.18333333333333</v>
      </c>
      <c r="I54" s="11">
        <v>17.666666666666671</v>
      </c>
      <c r="J54" s="11">
        <v>9.9</v>
      </c>
      <c r="K54" s="11">
        <v>51.033333333333331</v>
      </c>
      <c r="L54" s="11">
        <v>37.133333333333333</v>
      </c>
      <c r="M54" s="11">
        <v>121.65</v>
      </c>
    </row>
    <row r="55" spans="1:13" x14ac:dyDescent="0.25">
      <c r="A55" s="6">
        <v>10</v>
      </c>
      <c r="B55" s="6" t="s">
        <v>126</v>
      </c>
      <c r="C55" s="6" t="s">
        <v>300</v>
      </c>
      <c r="D55" s="6" t="s">
        <v>28</v>
      </c>
      <c r="E55" s="6" t="s">
        <v>29</v>
      </c>
      <c r="F55" s="6" t="s">
        <v>96</v>
      </c>
      <c r="G55" s="10">
        <v>0</v>
      </c>
      <c r="H55" s="10">
        <v>35.56666666666667</v>
      </c>
      <c r="I55" s="10">
        <v>26.165716666666661</v>
      </c>
      <c r="J55" s="10">
        <v>2.0499999999999998</v>
      </c>
      <c r="K55" s="10">
        <v>63.035266666666672</v>
      </c>
      <c r="L55" s="10">
        <v>45.45</v>
      </c>
      <c r="M55" s="10">
        <v>75</v>
      </c>
    </row>
    <row r="56" spans="1:13" x14ac:dyDescent="0.25">
      <c r="A56" s="8">
        <v>10</v>
      </c>
      <c r="B56" s="8" t="s">
        <v>126</v>
      </c>
      <c r="C56" s="8" t="s">
        <v>301</v>
      </c>
      <c r="D56" s="8" t="s">
        <v>28</v>
      </c>
      <c r="E56" s="8" t="s">
        <v>29</v>
      </c>
      <c r="F56" s="8" t="s">
        <v>96</v>
      </c>
      <c r="G56" s="11">
        <v>0</v>
      </c>
      <c r="H56" s="11">
        <v>69.483333333333334</v>
      </c>
      <c r="I56" s="11">
        <v>9.9499999999999993</v>
      </c>
      <c r="J56" s="11">
        <v>1.716666666666667</v>
      </c>
      <c r="K56" s="11">
        <v>25.133333333333329</v>
      </c>
      <c r="L56" s="11">
        <v>23.43333333333333</v>
      </c>
      <c r="M56" s="11">
        <v>144.6333333333333</v>
      </c>
    </row>
    <row r="57" spans="1:13" x14ac:dyDescent="0.25">
      <c r="A57" s="6">
        <v>11</v>
      </c>
      <c r="B57" s="6" t="s">
        <v>129</v>
      </c>
      <c r="C57" s="6" t="s">
        <v>300</v>
      </c>
      <c r="D57" s="6" t="s">
        <v>28</v>
      </c>
      <c r="E57" s="6" t="s">
        <v>29</v>
      </c>
      <c r="F57" s="6" t="s">
        <v>130</v>
      </c>
      <c r="G57" s="10">
        <v>0</v>
      </c>
      <c r="H57" s="10">
        <v>43.485533333333343</v>
      </c>
      <c r="I57" s="10">
        <v>7.55</v>
      </c>
      <c r="J57" s="10">
        <v>4.0999999999999996</v>
      </c>
      <c r="K57" s="10">
        <v>52.5</v>
      </c>
      <c r="L57" s="10">
        <v>37.471449999999997</v>
      </c>
      <c r="M57" s="10">
        <v>96.266666666666666</v>
      </c>
    </row>
    <row r="58" spans="1:13" x14ac:dyDescent="0.25">
      <c r="A58" s="8">
        <v>11</v>
      </c>
      <c r="B58" s="8" t="s">
        <v>129</v>
      </c>
      <c r="C58" s="8" t="s">
        <v>301</v>
      </c>
      <c r="D58" s="8" t="s">
        <v>28</v>
      </c>
      <c r="E58" s="8" t="s">
        <v>29</v>
      </c>
      <c r="F58" s="8" t="s">
        <v>130</v>
      </c>
      <c r="G58" s="11">
        <v>0</v>
      </c>
      <c r="H58" s="11">
        <v>36.983333333333327</v>
      </c>
      <c r="I58" s="11">
        <v>4.5</v>
      </c>
      <c r="J58" s="11">
        <v>1.6166666666666669</v>
      </c>
      <c r="K58" s="11">
        <v>42.43333333333333</v>
      </c>
      <c r="L58" s="11">
        <v>34.950000000000003</v>
      </c>
      <c r="M58" s="11">
        <v>121.1324333333333</v>
      </c>
    </row>
    <row r="59" spans="1:13" x14ac:dyDescent="0.25">
      <c r="A59" s="6">
        <v>12</v>
      </c>
      <c r="B59" s="6" t="s">
        <v>136</v>
      </c>
      <c r="C59" s="6" t="s">
        <v>300</v>
      </c>
      <c r="D59" s="6" t="s">
        <v>28</v>
      </c>
      <c r="E59" s="6" t="s">
        <v>29</v>
      </c>
      <c r="F59" s="6" t="s">
        <v>130</v>
      </c>
      <c r="G59" s="10">
        <v>0</v>
      </c>
      <c r="H59" s="10">
        <v>26.368866666666669</v>
      </c>
      <c r="I59" s="10">
        <v>7.3148666666666662</v>
      </c>
      <c r="J59" s="10">
        <v>0</v>
      </c>
      <c r="K59" s="10">
        <v>48.733333333333327</v>
      </c>
      <c r="L59" s="10">
        <v>36.266666666666673</v>
      </c>
      <c r="M59" s="10">
        <v>81.2</v>
      </c>
    </row>
    <row r="60" spans="1:13" x14ac:dyDescent="0.25">
      <c r="A60" s="8">
        <v>12</v>
      </c>
      <c r="B60" s="8" t="s">
        <v>136</v>
      </c>
      <c r="C60" s="8" t="s">
        <v>301</v>
      </c>
      <c r="D60" s="8" t="s">
        <v>28</v>
      </c>
      <c r="E60" s="8" t="s">
        <v>29</v>
      </c>
      <c r="F60" s="8" t="s">
        <v>130</v>
      </c>
      <c r="G60" s="11">
        <v>0</v>
      </c>
      <c r="H60" s="11">
        <v>23.716666666666669</v>
      </c>
      <c r="I60" s="11">
        <v>4.4333333333333336</v>
      </c>
      <c r="J60" s="11">
        <v>9.5500000000000007</v>
      </c>
      <c r="K60" s="11">
        <v>50.65</v>
      </c>
      <c r="L60" s="11">
        <v>34.233333333333327</v>
      </c>
      <c r="M60" s="11">
        <v>109.3</v>
      </c>
    </row>
    <row r="61" spans="1:13" x14ac:dyDescent="0.25">
      <c r="A61" s="6">
        <v>13</v>
      </c>
      <c r="B61" s="6" t="s">
        <v>141</v>
      </c>
      <c r="C61" s="6" t="s">
        <v>300</v>
      </c>
      <c r="D61" s="6" t="s">
        <v>28</v>
      </c>
      <c r="E61" s="6" t="s">
        <v>29</v>
      </c>
      <c r="F61" s="6" t="s">
        <v>130</v>
      </c>
      <c r="G61" s="10">
        <v>0</v>
      </c>
      <c r="H61" s="10">
        <v>32.85</v>
      </c>
      <c r="I61" s="10">
        <v>9.1368999999999989</v>
      </c>
      <c r="J61" s="10">
        <v>5.6833333333333336</v>
      </c>
      <c r="K61" s="10">
        <v>57.616666666666667</v>
      </c>
      <c r="L61" s="10">
        <v>44.190649999999998</v>
      </c>
      <c r="M61" s="10">
        <v>102.23333333333331</v>
      </c>
    </row>
    <row r="62" spans="1:13" x14ac:dyDescent="0.25">
      <c r="A62" s="8">
        <v>13</v>
      </c>
      <c r="B62" s="8" t="s">
        <v>141</v>
      </c>
      <c r="C62" s="8" t="s">
        <v>301</v>
      </c>
      <c r="D62" s="8" t="s">
        <v>28</v>
      </c>
      <c r="E62" s="8" t="s">
        <v>29</v>
      </c>
      <c r="F62" s="8" t="s">
        <v>130</v>
      </c>
      <c r="G62" s="11">
        <v>0</v>
      </c>
      <c r="H62" s="11">
        <v>36.983333333333327</v>
      </c>
      <c r="I62" s="11">
        <v>4.5</v>
      </c>
      <c r="J62" s="11">
        <v>1.6166666666666669</v>
      </c>
      <c r="K62" s="11">
        <v>42.43333333333333</v>
      </c>
      <c r="L62" s="11">
        <v>34.950000000000003</v>
      </c>
      <c r="M62" s="11">
        <v>121.1324333333333</v>
      </c>
    </row>
    <row r="63" spans="1:13" x14ac:dyDescent="0.25">
      <c r="A63" s="6">
        <v>14</v>
      </c>
      <c r="B63" s="6" t="s">
        <v>144</v>
      </c>
      <c r="C63" s="6" t="s">
        <v>300</v>
      </c>
      <c r="D63" s="6" t="s">
        <v>28</v>
      </c>
      <c r="E63" s="6" t="s">
        <v>29</v>
      </c>
      <c r="F63" s="6" t="s">
        <v>130</v>
      </c>
      <c r="G63" s="10">
        <v>0</v>
      </c>
      <c r="H63" s="10">
        <v>35.5</v>
      </c>
      <c r="I63" s="10">
        <v>6.9833333333333334</v>
      </c>
      <c r="J63" s="10">
        <v>4.0999999999999996</v>
      </c>
      <c r="K63" s="10">
        <v>44.283333333333331</v>
      </c>
      <c r="L63" s="10">
        <v>31.216666666666669</v>
      </c>
      <c r="M63" s="10">
        <v>83.670550000000006</v>
      </c>
    </row>
    <row r="64" spans="1:13" x14ac:dyDescent="0.25">
      <c r="A64" s="8">
        <v>14</v>
      </c>
      <c r="B64" s="8" t="s">
        <v>144</v>
      </c>
      <c r="C64" s="8" t="s">
        <v>301</v>
      </c>
      <c r="D64" s="8" t="s">
        <v>28</v>
      </c>
      <c r="E64" s="8" t="s">
        <v>29</v>
      </c>
      <c r="F64" s="8" t="s">
        <v>130</v>
      </c>
      <c r="G64" s="11">
        <v>0</v>
      </c>
      <c r="H64" s="11">
        <v>21.383333333333329</v>
      </c>
      <c r="I64" s="11">
        <v>1</v>
      </c>
      <c r="J64" s="11">
        <v>0</v>
      </c>
      <c r="K64" s="11">
        <v>39.18333333333333</v>
      </c>
      <c r="L64" s="11">
        <v>30.466666666666669</v>
      </c>
      <c r="M64" s="11">
        <v>102.92506666666669</v>
      </c>
    </row>
    <row r="65" spans="1:13" x14ac:dyDescent="0.25">
      <c r="A65" s="6">
        <v>15</v>
      </c>
      <c r="B65" s="6" t="s">
        <v>150</v>
      </c>
      <c r="C65" s="6" t="s">
        <v>300</v>
      </c>
      <c r="D65" s="6" t="s">
        <v>28</v>
      </c>
      <c r="E65" s="6" t="s">
        <v>29</v>
      </c>
      <c r="F65" s="6" t="s">
        <v>130</v>
      </c>
      <c r="G65" s="10">
        <v>0</v>
      </c>
      <c r="H65" s="10">
        <v>34.497033333333327</v>
      </c>
      <c r="I65" s="10">
        <v>3.6833333333333331</v>
      </c>
      <c r="J65" s="10">
        <v>5.2666666666666666</v>
      </c>
      <c r="K65" s="10">
        <v>54.2</v>
      </c>
      <c r="L65" s="10">
        <v>34.928283333333333</v>
      </c>
      <c r="M65" s="10">
        <v>90.466666666666669</v>
      </c>
    </row>
    <row r="66" spans="1:13" x14ac:dyDescent="0.25">
      <c r="A66" s="8">
        <v>15</v>
      </c>
      <c r="B66" s="8" t="s">
        <v>150</v>
      </c>
      <c r="C66" s="8" t="s">
        <v>301</v>
      </c>
      <c r="D66" s="8" t="s">
        <v>28</v>
      </c>
      <c r="E66" s="8" t="s">
        <v>29</v>
      </c>
      <c r="F66" s="8" t="s">
        <v>130</v>
      </c>
      <c r="G66" s="11">
        <v>0</v>
      </c>
      <c r="H66" s="11">
        <v>36.983333333333327</v>
      </c>
      <c r="I66" s="11">
        <v>4.5</v>
      </c>
      <c r="J66" s="11">
        <v>1.6166666666666669</v>
      </c>
      <c r="K66" s="11">
        <v>42.43333333333333</v>
      </c>
      <c r="L66" s="11">
        <v>34.950000000000003</v>
      </c>
      <c r="M66" s="11">
        <v>121.1324333333333</v>
      </c>
    </row>
    <row r="67" spans="1:13" x14ac:dyDescent="0.25">
      <c r="A67" s="6">
        <v>16</v>
      </c>
      <c r="B67" s="6" t="s">
        <v>153</v>
      </c>
      <c r="C67" s="6" t="s">
        <v>300</v>
      </c>
      <c r="D67" s="6" t="s">
        <v>28</v>
      </c>
      <c r="E67" s="6" t="s">
        <v>29</v>
      </c>
      <c r="F67" s="6" t="s">
        <v>130</v>
      </c>
      <c r="G67" s="10">
        <v>0</v>
      </c>
      <c r="H67" s="10">
        <v>43.485533333333343</v>
      </c>
      <c r="I67" s="10">
        <v>9.5500000000000007</v>
      </c>
      <c r="J67" s="10">
        <v>6.7833333333333332</v>
      </c>
      <c r="K67" s="10">
        <v>55.4</v>
      </c>
      <c r="L67" s="10">
        <v>40.216666666666669</v>
      </c>
      <c r="M67" s="10">
        <v>120.6666666666667</v>
      </c>
    </row>
    <row r="68" spans="1:13" x14ac:dyDescent="0.25">
      <c r="A68" s="8">
        <v>16</v>
      </c>
      <c r="B68" s="8" t="s">
        <v>153</v>
      </c>
      <c r="C68" s="8" t="s">
        <v>301</v>
      </c>
      <c r="D68" s="8" t="s">
        <v>28</v>
      </c>
      <c r="E68" s="8" t="s">
        <v>29</v>
      </c>
      <c r="F68" s="8" t="s">
        <v>130</v>
      </c>
      <c r="G68" s="11">
        <v>0</v>
      </c>
      <c r="H68" s="11">
        <v>26.333333333333329</v>
      </c>
      <c r="I68" s="11">
        <v>10.016666666666669</v>
      </c>
      <c r="J68" s="11">
        <v>14.483333333333331</v>
      </c>
      <c r="K68" s="11">
        <v>52.6</v>
      </c>
      <c r="L68" s="11">
        <v>41.9</v>
      </c>
      <c r="M68" s="11">
        <v>146.02638333333331</v>
      </c>
    </row>
    <row r="69" spans="1:13" x14ac:dyDescent="0.25">
      <c r="A69" s="6">
        <v>17</v>
      </c>
      <c r="B69" s="6" t="s">
        <v>158</v>
      </c>
      <c r="C69" s="6" t="s">
        <v>300</v>
      </c>
      <c r="D69" s="6" t="s">
        <v>28</v>
      </c>
      <c r="E69" s="6" t="s">
        <v>29</v>
      </c>
      <c r="F69" s="6" t="s">
        <v>130</v>
      </c>
      <c r="G69" s="10">
        <v>0</v>
      </c>
      <c r="H69" s="10">
        <v>35.1</v>
      </c>
      <c r="I69" s="10">
        <v>12.7</v>
      </c>
      <c r="J69" s="10">
        <v>3.9333333333333331</v>
      </c>
      <c r="K69" s="10">
        <v>68.016666666666666</v>
      </c>
      <c r="L69" s="10">
        <v>51.253116666666664</v>
      </c>
      <c r="M69" s="10">
        <v>71.584483333333338</v>
      </c>
    </row>
    <row r="70" spans="1:13" x14ac:dyDescent="0.25">
      <c r="A70" s="8">
        <v>17</v>
      </c>
      <c r="B70" s="8" t="s">
        <v>158</v>
      </c>
      <c r="C70" s="8" t="s">
        <v>301</v>
      </c>
      <c r="D70" s="8" t="s">
        <v>28</v>
      </c>
      <c r="E70" s="8" t="s">
        <v>29</v>
      </c>
      <c r="F70" s="8" t="s">
        <v>130</v>
      </c>
      <c r="G70" s="11">
        <v>0</v>
      </c>
      <c r="H70" s="11">
        <v>36.983333333333327</v>
      </c>
      <c r="I70" s="11">
        <v>4.5</v>
      </c>
      <c r="J70" s="11">
        <v>1.6166666666666669</v>
      </c>
      <c r="K70" s="11">
        <v>42.43333333333333</v>
      </c>
      <c r="L70" s="11">
        <v>34.950000000000003</v>
      </c>
      <c r="M70" s="11">
        <v>122.04485</v>
      </c>
    </row>
    <row r="71" spans="1:13" x14ac:dyDescent="0.25">
      <c r="A71" s="6">
        <v>18</v>
      </c>
      <c r="B71" s="6" t="s">
        <v>162</v>
      </c>
      <c r="C71" s="6" t="s">
        <v>300</v>
      </c>
      <c r="D71" s="6" t="s">
        <v>28</v>
      </c>
      <c r="E71" s="6" t="s">
        <v>29</v>
      </c>
      <c r="F71" s="6" t="s">
        <v>96</v>
      </c>
      <c r="G71" s="10">
        <v>0</v>
      </c>
      <c r="H71" s="10">
        <v>30.18333333333333</v>
      </c>
      <c r="I71" s="10">
        <v>12.0548</v>
      </c>
      <c r="J71" s="10">
        <v>2.1</v>
      </c>
      <c r="K71" s="10">
        <v>43.833333333333343</v>
      </c>
      <c r="L71" s="10">
        <v>30.25</v>
      </c>
      <c r="M71" s="10">
        <v>87.221950000000007</v>
      </c>
    </row>
    <row r="72" spans="1:13" x14ac:dyDescent="0.25">
      <c r="A72" s="8">
        <v>18</v>
      </c>
      <c r="B72" s="8" t="s">
        <v>162</v>
      </c>
      <c r="C72" s="8" t="s">
        <v>301</v>
      </c>
      <c r="D72" s="8" t="s">
        <v>28</v>
      </c>
      <c r="E72" s="8" t="s">
        <v>29</v>
      </c>
      <c r="F72" s="8" t="s">
        <v>96</v>
      </c>
      <c r="G72" s="11">
        <v>0</v>
      </c>
      <c r="H72" s="11">
        <v>31.8</v>
      </c>
      <c r="I72" s="11">
        <v>0</v>
      </c>
      <c r="J72" s="11">
        <v>1.5</v>
      </c>
      <c r="K72" s="11">
        <v>30.466666666666669</v>
      </c>
      <c r="L72" s="11">
        <v>23</v>
      </c>
      <c r="M72" s="11">
        <v>134.3833333333333</v>
      </c>
    </row>
    <row r="73" spans="1:13" x14ac:dyDescent="0.25">
      <c r="A73" s="6">
        <v>19</v>
      </c>
      <c r="B73" s="6" t="s">
        <v>165</v>
      </c>
      <c r="C73" s="6" t="s">
        <v>300</v>
      </c>
      <c r="D73" s="6" t="s">
        <v>28</v>
      </c>
      <c r="E73" s="6" t="s">
        <v>29</v>
      </c>
      <c r="F73" s="6" t="s">
        <v>96</v>
      </c>
      <c r="G73" s="10">
        <v>0</v>
      </c>
      <c r="H73" s="10">
        <v>30.18333333333333</v>
      </c>
      <c r="I73" s="10">
        <v>13.90325</v>
      </c>
      <c r="J73" s="10">
        <v>4.2333333333333334</v>
      </c>
      <c r="K73" s="10">
        <v>46.35</v>
      </c>
      <c r="L73" s="10">
        <v>31.983333333333331</v>
      </c>
      <c r="M73" s="10">
        <v>93.283333333333331</v>
      </c>
    </row>
    <row r="74" spans="1:13" x14ac:dyDescent="0.25">
      <c r="A74" s="8">
        <v>19</v>
      </c>
      <c r="B74" s="8" t="s">
        <v>165</v>
      </c>
      <c r="C74" s="8" t="s">
        <v>301</v>
      </c>
      <c r="D74" s="8" t="s">
        <v>28</v>
      </c>
      <c r="E74" s="8" t="s">
        <v>29</v>
      </c>
      <c r="F74" s="8" t="s">
        <v>96</v>
      </c>
      <c r="G74" s="11">
        <v>0</v>
      </c>
      <c r="H74" s="11">
        <v>71.083333333333329</v>
      </c>
      <c r="I74" s="11">
        <v>4.05</v>
      </c>
      <c r="J74" s="11">
        <v>11.6</v>
      </c>
      <c r="K74" s="11">
        <v>38.68333333333333</v>
      </c>
      <c r="L74" s="11">
        <v>26.81666666666667</v>
      </c>
      <c r="M74" s="11">
        <v>116.98333333333331</v>
      </c>
    </row>
    <row r="75" spans="1:13" x14ac:dyDescent="0.25">
      <c r="A75" s="6">
        <v>20</v>
      </c>
      <c r="B75" s="6" t="s">
        <v>168</v>
      </c>
      <c r="C75" s="6" t="s">
        <v>300</v>
      </c>
      <c r="D75" s="6" t="s">
        <v>28</v>
      </c>
      <c r="E75" s="6" t="s">
        <v>29</v>
      </c>
      <c r="F75" s="6" t="s">
        <v>96</v>
      </c>
      <c r="G75" s="10">
        <v>0</v>
      </c>
      <c r="H75" s="10">
        <v>8.9333333333333336</v>
      </c>
      <c r="I75" s="10">
        <v>4.7779333333333334</v>
      </c>
      <c r="J75" s="10">
        <v>0</v>
      </c>
      <c r="K75" s="10">
        <v>45.070950000000003</v>
      </c>
      <c r="L75" s="10">
        <v>34.966666666666669</v>
      </c>
      <c r="M75" s="10">
        <v>92.36666666666666</v>
      </c>
    </row>
    <row r="76" spans="1:13" x14ac:dyDescent="0.25">
      <c r="A76" s="8">
        <v>20</v>
      </c>
      <c r="B76" s="8" t="s">
        <v>168</v>
      </c>
      <c r="C76" s="8" t="s">
        <v>301</v>
      </c>
      <c r="D76" s="8" t="s">
        <v>28</v>
      </c>
      <c r="E76" s="8" t="s">
        <v>29</v>
      </c>
      <c r="F76" s="8" t="s">
        <v>96</v>
      </c>
      <c r="G76" s="11">
        <v>0</v>
      </c>
      <c r="H76" s="11">
        <v>31.8</v>
      </c>
      <c r="I76" s="11">
        <v>0</v>
      </c>
      <c r="J76" s="11">
        <v>1.5</v>
      </c>
      <c r="K76" s="11">
        <v>30.466666666666669</v>
      </c>
      <c r="L76" s="11">
        <v>23</v>
      </c>
      <c r="M76" s="11">
        <v>134.3833333333333</v>
      </c>
    </row>
    <row r="77" spans="1:13" x14ac:dyDescent="0.25">
      <c r="A77" s="6">
        <v>21</v>
      </c>
      <c r="B77" s="6" t="s">
        <v>171</v>
      </c>
      <c r="C77" s="6" t="s">
        <v>300</v>
      </c>
      <c r="D77" s="6" t="s">
        <v>28</v>
      </c>
      <c r="E77" s="6" t="s">
        <v>29</v>
      </c>
      <c r="F77" s="6" t="s">
        <v>96</v>
      </c>
      <c r="G77" s="10">
        <v>0</v>
      </c>
      <c r="H77" s="10">
        <v>30.18333333333333</v>
      </c>
      <c r="I77" s="10">
        <v>15.93333333333333</v>
      </c>
      <c r="J77" s="10">
        <v>2.1</v>
      </c>
      <c r="K77" s="10">
        <v>50.65</v>
      </c>
      <c r="L77" s="10">
        <v>37.059549999999987</v>
      </c>
      <c r="M77" s="10">
        <v>99.805283333333335</v>
      </c>
    </row>
    <row r="78" spans="1:13" x14ac:dyDescent="0.25">
      <c r="A78" s="8">
        <v>21</v>
      </c>
      <c r="B78" s="8" t="s">
        <v>171</v>
      </c>
      <c r="C78" s="8" t="s">
        <v>301</v>
      </c>
      <c r="D78" s="8" t="s">
        <v>28</v>
      </c>
      <c r="E78" s="8" t="s">
        <v>29</v>
      </c>
      <c r="F78" s="8" t="s">
        <v>96</v>
      </c>
      <c r="G78" s="11">
        <v>0</v>
      </c>
      <c r="H78" s="11">
        <v>48.18333333333333</v>
      </c>
      <c r="I78" s="11">
        <v>17.666666666666671</v>
      </c>
      <c r="J78" s="11">
        <v>9.9</v>
      </c>
      <c r="K78" s="11">
        <v>51.033333333333331</v>
      </c>
      <c r="L78" s="11">
        <v>37.133333333333333</v>
      </c>
      <c r="M78" s="11">
        <v>121.65</v>
      </c>
    </row>
    <row r="79" spans="1:13" x14ac:dyDescent="0.25">
      <c r="A79" s="6">
        <v>22</v>
      </c>
      <c r="B79" s="6" t="s">
        <v>173</v>
      </c>
      <c r="C79" s="6" t="s">
        <v>300</v>
      </c>
      <c r="D79" s="6" t="s">
        <v>28</v>
      </c>
      <c r="E79" s="6" t="s">
        <v>29</v>
      </c>
      <c r="F79" s="6" t="s">
        <v>96</v>
      </c>
      <c r="G79" s="10">
        <v>0</v>
      </c>
      <c r="H79" s="10">
        <v>30.466666666666669</v>
      </c>
      <c r="I79" s="10">
        <v>18.984083333333331</v>
      </c>
      <c r="J79" s="10">
        <v>2.2999999999999998</v>
      </c>
      <c r="K79" s="10">
        <v>58.605016666666657</v>
      </c>
      <c r="L79" s="10">
        <v>41.15</v>
      </c>
      <c r="M79" s="10">
        <v>69.61666666666666</v>
      </c>
    </row>
    <row r="80" spans="1:13" x14ac:dyDescent="0.25">
      <c r="A80" s="8">
        <v>22</v>
      </c>
      <c r="B80" s="8" t="s">
        <v>173</v>
      </c>
      <c r="C80" s="8" t="s">
        <v>301</v>
      </c>
      <c r="D80" s="8" t="s">
        <v>28</v>
      </c>
      <c r="E80" s="8" t="s">
        <v>29</v>
      </c>
      <c r="F80" s="8" t="s">
        <v>96</v>
      </c>
      <c r="G80" s="11">
        <v>0</v>
      </c>
      <c r="H80" s="11">
        <v>31.8</v>
      </c>
      <c r="I80" s="11">
        <v>0</v>
      </c>
      <c r="J80" s="11">
        <v>1.5</v>
      </c>
      <c r="K80" s="11">
        <v>30.466666666666669</v>
      </c>
      <c r="L80" s="11">
        <v>23</v>
      </c>
      <c r="M80" s="11">
        <v>134.3833333333333</v>
      </c>
    </row>
    <row r="81" spans="1:13" x14ac:dyDescent="0.25">
      <c r="A81" s="6">
        <v>23</v>
      </c>
      <c r="B81" s="6" t="s">
        <v>176</v>
      </c>
      <c r="C81" s="6" t="s">
        <v>300</v>
      </c>
      <c r="D81" s="6" t="s">
        <v>28</v>
      </c>
      <c r="E81" s="6" t="s">
        <v>29</v>
      </c>
      <c r="F81" s="6" t="s">
        <v>130</v>
      </c>
      <c r="G81" s="10">
        <v>0</v>
      </c>
      <c r="H81" s="10">
        <v>24.65</v>
      </c>
      <c r="I81" s="10">
        <v>10.13448333333333</v>
      </c>
      <c r="J81" s="10">
        <v>2.1</v>
      </c>
      <c r="K81" s="10">
        <v>53.916666666666657</v>
      </c>
      <c r="L81" s="10">
        <v>40.75</v>
      </c>
      <c r="M81" s="10">
        <v>91.5</v>
      </c>
    </row>
    <row r="82" spans="1:13" x14ac:dyDescent="0.25">
      <c r="A82" s="8">
        <v>23</v>
      </c>
      <c r="B82" s="8" t="s">
        <v>176</v>
      </c>
      <c r="C82" s="8" t="s">
        <v>301</v>
      </c>
      <c r="D82" s="8" t="s">
        <v>28</v>
      </c>
      <c r="E82" s="8" t="s">
        <v>29</v>
      </c>
      <c r="F82" s="8" t="s">
        <v>130</v>
      </c>
      <c r="G82" s="11">
        <v>0</v>
      </c>
      <c r="H82" s="11">
        <v>23.716666666666669</v>
      </c>
      <c r="I82" s="11">
        <v>4.4333333333333336</v>
      </c>
      <c r="J82" s="11">
        <v>9.5500000000000007</v>
      </c>
      <c r="K82" s="11">
        <v>50.65</v>
      </c>
      <c r="L82" s="11">
        <v>34.233333333333327</v>
      </c>
      <c r="M82" s="11">
        <v>109.3</v>
      </c>
    </row>
    <row r="83" spans="1:13" x14ac:dyDescent="0.25">
      <c r="A83" s="6">
        <v>24</v>
      </c>
      <c r="B83" s="6" t="s">
        <v>178</v>
      </c>
      <c r="C83" s="6" t="s">
        <v>300</v>
      </c>
      <c r="D83" s="6" t="s">
        <v>28</v>
      </c>
      <c r="E83" s="6" t="s">
        <v>29</v>
      </c>
      <c r="F83" s="6" t="s">
        <v>130</v>
      </c>
      <c r="G83" s="10">
        <v>0</v>
      </c>
      <c r="H83" s="10">
        <v>26.583333333333329</v>
      </c>
      <c r="I83" s="10">
        <v>1.261883333333333</v>
      </c>
      <c r="J83" s="10">
        <v>5.35</v>
      </c>
      <c r="K83" s="10">
        <v>50.083333333333343</v>
      </c>
      <c r="L83" s="10">
        <v>38.023983333333327</v>
      </c>
      <c r="M83" s="10">
        <v>85.833333333333329</v>
      </c>
    </row>
    <row r="84" spans="1:13" x14ac:dyDescent="0.25">
      <c r="A84" s="8">
        <v>24</v>
      </c>
      <c r="B84" s="8" t="s">
        <v>178</v>
      </c>
      <c r="C84" s="8" t="s">
        <v>301</v>
      </c>
      <c r="D84" s="8" t="s">
        <v>28</v>
      </c>
      <c r="E84" s="8" t="s">
        <v>29</v>
      </c>
      <c r="F84" s="8" t="s">
        <v>130</v>
      </c>
      <c r="G84" s="11">
        <v>0</v>
      </c>
      <c r="H84" s="11">
        <v>21.383333333333329</v>
      </c>
      <c r="I84" s="11">
        <v>1</v>
      </c>
      <c r="J84" s="11">
        <v>0</v>
      </c>
      <c r="K84" s="11">
        <v>39.18333333333333</v>
      </c>
      <c r="L84" s="11">
        <v>30.466666666666669</v>
      </c>
      <c r="M84" s="11">
        <v>102.4992666666667</v>
      </c>
    </row>
    <row r="85" spans="1:13" x14ac:dyDescent="0.25">
      <c r="A85" s="6">
        <v>25</v>
      </c>
      <c r="B85" s="6" t="s">
        <v>181</v>
      </c>
      <c r="C85" s="6" t="s">
        <v>300</v>
      </c>
      <c r="D85" s="6" t="s">
        <v>28</v>
      </c>
      <c r="E85" s="6" t="s">
        <v>29</v>
      </c>
      <c r="F85" s="6" t="s">
        <v>130</v>
      </c>
      <c r="G85" s="10">
        <v>0</v>
      </c>
      <c r="H85" s="10">
        <v>23.847033333333339</v>
      </c>
      <c r="I85" s="10">
        <v>3.6833333333333331</v>
      </c>
      <c r="J85" s="10">
        <v>0.25</v>
      </c>
      <c r="K85" s="10">
        <v>50.55</v>
      </c>
      <c r="L85" s="10">
        <v>32.700000000000003</v>
      </c>
      <c r="M85" s="10">
        <v>78.960683333333321</v>
      </c>
    </row>
    <row r="86" spans="1:13" x14ac:dyDescent="0.25">
      <c r="A86" s="8">
        <v>25</v>
      </c>
      <c r="B86" s="8" t="s">
        <v>181</v>
      </c>
      <c r="C86" s="8" t="s">
        <v>301</v>
      </c>
      <c r="D86" s="8" t="s">
        <v>28</v>
      </c>
      <c r="E86" s="8" t="s">
        <v>29</v>
      </c>
      <c r="F86" s="8" t="s">
        <v>130</v>
      </c>
      <c r="G86" s="11">
        <v>0</v>
      </c>
      <c r="H86" s="11">
        <v>23.716666666666669</v>
      </c>
      <c r="I86" s="11">
        <v>4.4333333333333336</v>
      </c>
      <c r="J86" s="11">
        <v>9.5500000000000007</v>
      </c>
      <c r="K86" s="11">
        <v>50.65</v>
      </c>
      <c r="L86" s="11">
        <v>34.233333333333327</v>
      </c>
      <c r="M86" s="11">
        <v>109.3</v>
      </c>
    </row>
    <row r="87" spans="1:13" x14ac:dyDescent="0.25">
      <c r="A87" s="6">
        <v>26</v>
      </c>
      <c r="B87" s="6" t="s">
        <v>183</v>
      </c>
      <c r="C87" s="6" t="s">
        <v>300</v>
      </c>
      <c r="D87" s="6" t="s">
        <v>28</v>
      </c>
      <c r="E87" s="6" t="s">
        <v>29</v>
      </c>
      <c r="F87" s="6" t="s">
        <v>130</v>
      </c>
      <c r="G87" s="10">
        <v>0</v>
      </c>
      <c r="H87" s="10">
        <v>32.85</v>
      </c>
      <c r="I87" s="10">
        <v>9.8868999999999989</v>
      </c>
      <c r="J87" s="10">
        <v>7.9333333333333336</v>
      </c>
      <c r="K87" s="10">
        <v>61.06666666666667</v>
      </c>
      <c r="L87" s="10">
        <v>46.8</v>
      </c>
      <c r="M87" s="10">
        <v>122.55</v>
      </c>
    </row>
    <row r="88" spans="1:13" x14ac:dyDescent="0.25">
      <c r="A88" s="8">
        <v>26</v>
      </c>
      <c r="B88" s="8" t="s">
        <v>183</v>
      </c>
      <c r="C88" s="8" t="s">
        <v>301</v>
      </c>
      <c r="D88" s="8" t="s">
        <v>28</v>
      </c>
      <c r="E88" s="8" t="s">
        <v>29</v>
      </c>
      <c r="F88" s="8" t="s">
        <v>130</v>
      </c>
      <c r="G88" s="11">
        <v>0</v>
      </c>
      <c r="H88" s="11">
        <v>26.333333333333329</v>
      </c>
      <c r="I88" s="11">
        <v>10.016666666666669</v>
      </c>
      <c r="J88" s="11">
        <v>14.483333333333331</v>
      </c>
      <c r="K88" s="11">
        <v>52.6</v>
      </c>
      <c r="L88" s="11">
        <v>42.233333333333327</v>
      </c>
      <c r="M88" s="11">
        <v>146.08333333333329</v>
      </c>
    </row>
    <row r="89" spans="1:13" x14ac:dyDescent="0.25">
      <c r="A89" s="6">
        <v>27</v>
      </c>
      <c r="B89" s="6" t="s">
        <v>186</v>
      </c>
      <c r="C89" s="6" t="s">
        <v>300</v>
      </c>
      <c r="D89" s="6" t="s">
        <v>28</v>
      </c>
      <c r="E89" s="6" t="s">
        <v>29</v>
      </c>
      <c r="F89" s="6" t="s">
        <v>130</v>
      </c>
      <c r="G89" s="10">
        <v>0</v>
      </c>
      <c r="H89" s="10">
        <v>31.033333333333331</v>
      </c>
      <c r="I89" s="10">
        <v>10.96666666666667</v>
      </c>
      <c r="J89" s="10">
        <v>2.9333333333333331</v>
      </c>
      <c r="K89" s="10">
        <v>62.68333333333333</v>
      </c>
      <c r="L89" s="10">
        <v>46.940983333333328</v>
      </c>
      <c r="M89" s="10">
        <v>65.351150000000004</v>
      </c>
    </row>
    <row r="90" spans="1:13" x14ac:dyDescent="0.25">
      <c r="A90" s="8">
        <v>27</v>
      </c>
      <c r="B90" s="8" t="s">
        <v>186</v>
      </c>
      <c r="C90" s="8" t="s">
        <v>301</v>
      </c>
      <c r="D90" s="8" t="s">
        <v>28</v>
      </c>
      <c r="E90" s="8" t="s">
        <v>29</v>
      </c>
      <c r="F90" s="8" t="s">
        <v>130</v>
      </c>
      <c r="G90" s="11">
        <v>0</v>
      </c>
      <c r="H90" s="11">
        <v>23.716666666666669</v>
      </c>
      <c r="I90" s="11">
        <v>4.4333333333333336</v>
      </c>
      <c r="J90" s="11">
        <v>9.5500000000000007</v>
      </c>
      <c r="K90" s="11">
        <v>50.65</v>
      </c>
      <c r="L90" s="11">
        <v>34.233333333333327</v>
      </c>
      <c r="M90" s="11">
        <v>109.3</v>
      </c>
    </row>
    <row r="91" spans="1:13" x14ac:dyDescent="0.25">
      <c r="A91" s="6">
        <v>28</v>
      </c>
      <c r="B91" s="6" t="s">
        <v>188</v>
      </c>
      <c r="C91" s="6" t="s">
        <v>300</v>
      </c>
      <c r="D91" s="6" t="s">
        <v>28</v>
      </c>
      <c r="E91" s="6" t="s">
        <v>29</v>
      </c>
      <c r="F91" s="6" t="s">
        <v>96</v>
      </c>
      <c r="G91" s="10">
        <v>0</v>
      </c>
      <c r="H91" s="10">
        <v>8.9333333333333336</v>
      </c>
      <c r="I91" s="10">
        <v>5.4188666666666672</v>
      </c>
      <c r="J91" s="10">
        <v>0</v>
      </c>
      <c r="K91" s="10">
        <v>46.883333333333333</v>
      </c>
      <c r="L91" s="10">
        <v>35.666666666666657</v>
      </c>
      <c r="M91" s="10">
        <v>98.5</v>
      </c>
    </row>
    <row r="92" spans="1:13" x14ac:dyDescent="0.25">
      <c r="A92" s="8">
        <v>28</v>
      </c>
      <c r="B92" s="8" t="s">
        <v>188</v>
      </c>
      <c r="C92" s="8" t="s">
        <v>301</v>
      </c>
      <c r="D92" s="8" t="s">
        <v>28</v>
      </c>
      <c r="E92" s="8" t="s">
        <v>29</v>
      </c>
      <c r="F92" s="8" t="s">
        <v>96</v>
      </c>
      <c r="G92" s="11">
        <v>0</v>
      </c>
      <c r="H92" s="11">
        <v>71.083333333333329</v>
      </c>
      <c r="I92" s="11">
        <v>4.05</v>
      </c>
      <c r="J92" s="11">
        <v>9.2465500000000009</v>
      </c>
      <c r="K92" s="11">
        <v>38.68333333333333</v>
      </c>
      <c r="L92" s="11">
        <v>26.81666666666667</v>
      </c>
      <c r="M92" s="11">
        <v>116.98333333333331</v>
      </c>
    </row>
    <row r="93" spans="1:13" x14ac:dyDescent="0.25">
      <c r="A93" s="6">
        <v>29</v>
      </c>
      <c r="B93" s="6" t="s">
        <v>192</v>
      </c>
      <c r="C93" s="6" t="s">
        <v>300</v>
      </c>
      <c r="D93" s="6" t="s">
        <v>28</v>
      </c>
      <c r="E93" s="6" t="s">
        <v>29</v>
      </c>
      <c r="F93" s="6" t="s">
        <v>96</v>
      </c>
      <c r="G93" s="10">
        <v>0</v>
      </c>
      <c r="H93" s="10">
        <v>12.03333333333333</v>
      </c>
      <c r="I93" s="10">
        <v>4.916666666666667</v>
      </c>
      <c r="J93" s="10">
        <v>0</v>
      </c>
      <c r="K93" s="10">
        <v>47.070950000000003</v>
      </c>
      <c r="L93" s="10">
        <v>35.883333333333333</v>
      </c>
      <c r="M93" s="10">
        <v>102.55</v>
      </c>
    </row>
    <row r="94" spans="1:13" x14ac:dyDescent="0.25">
      <c r="A94" s="8">
        <v>29</v>
      </c>
      <c r="B94" s="8" t="s">
        <v>192</v>
      </c>
      <c r="C94" s="8" t="s">
        <v>301</v>
      </c>
      <c r="D94" s="8" t="s">
        <v>28</v>
      </c>
      <c r="E94" s="8" t="s">
        <v>29</v>
      </c>
      <c r="F94" s="8" t="s">
        <v>96</v>
      </c>
      <c r="G94" s="11">
        <v>0</v>
      </c>
      <c r="H94" s="11">
        <v>48.18333333333333</v>
      </c>
      <c r="I94" s="11">
        <v>13.66666666666667</v>
      </c>
      <c r="J94" s="11">
        <v>8.5500000000000007</v>
      </c>
      <c r="K94" s="11">
        <v>47.504249999999999</v>
      </c>
      <c r="L94" s="11">
        <v>34.783333333333331</v>
      </c>
      <c r="M94" s="11">
        <v>114.05</v>
      </c>
    </row>
    <row r="95" spans="1:13" x14ac:dyDescent="0.25">
      <c r="A95" s="6">
        <v>30</v>
      </c>
      <c r="B95" s="6" t="s">
        <v>194</v>
      </c>
      <c r="C95" s="6" t="s">
        <v>300</v>
      </c>
      <c r="D95" s="6" t="s">
        <v>28</v>
      </c>
      <c r="E95" s="6" t="s">
        <v>29</v>
      </c>
      <c r="F95" s="6" t="s">
        <v>96</v>
      </c>
      <c r="G95" s="10">
        <v>0</v>
      </c>
      <c r="H95" s="10">
        <v>45.166666666666657</v>
      </c>
      <c r="I95" s="10">
        <v>26.670683333333329</v>
      </c>
      <c r="J95" s="10">
        <v>2.8833333333333329</v>
      </c>
      <c r="K95" s="10">
        <v>61.423199999999987</v>
      </c>
      <c r="L95" s="10">
        <v>44.016666666666673</v>
      </c>
      <c r="M95" s="10">
        <v>75.583333333333329</v>
      </c>
    </row>
    <row r="96" spans="1:13" x14ac:dyDescent="0.25">
      <c r="A96" s="8">
        <v>30</v>
      </c>
      <c r="B96" s="8" t="s">
        <v>194</v>
      </c>
      <c r="C96" s="8" t="s">
        <v>301</v>
      </c>
      <c r="D96" s="8" t="s">
        <v>28</v>
      </c>
      <c r="E96" s="8" t="s">
        <v>29</v>
      </c>
      <c r="F96" s="8" t="s">
        <v>96</v>
      </c>
      <c r="G96" s="11">
        <v>0</v>
      </c>
      <c r="H96" s="11">
        <v>71.083333333333329</v>
      </c>
      <c r="I96" s="11">
        <v>4.05</v>
      </c>
      <c r="J96" s="11">
        <v>7.6833333333333336</v>
      </c>
      <c r="K96" s="11">
        <v>38.68333333333333</v>
      </c>
      <c r="L96" s="11">
        <v>26.81666666666667</v>
      </c>
      <c r="M96" s="11">
        <v>117.31331666666669</v>
      </c>
    </row>
    <row r="97" spans="1:13" x14ac:dyDescent="0.25">
      <c r="A97" s="6">
        <v>31</v>
      </c>
      <c r="B97" s="6" t="s">
        <v>198</v>
      </c>
      <c r="C97" s="6" t="s">
        <v>300</v>
      </c>
      <c r="D97" s="6" t="s">
        <v>28</v>
      </c>
      <c r="E97" s="6" t="s">
        <v>29</v>
      </c>
      <c r="F97" s="6" t="s">
        <v>130</v>
      </c>
      <c r="G97" s="10">
        <v>0</v>
      </c>
      <c r="H97" s="10">
        <v>29.483333333333331</v>
      </c>
      <c r="I97" s="10">
        <v>0.1105833333333333</v>
      </c>
      <c r="J97" s="10">
        <v>5.2666666666666666</v>
      </c>
      <c r="K97" s="10">
        <v>45.483333333333327</v>
      </c>
      <c r="L97" s="10">
        <v>28.733333333333331</v>
      </c>
      <c r="M97" s="10">
        <v>78.575700000000012</v>
      </c>
    </row>
    <row r="98" spans="1:13" x14ac:dyDescent="0.25">
      <c r="A98" s="8">
        <v>31</v>
      </c>
      <c r="B98" s="8" t="s">
        <v>198</v>
      </c>
      <c r="C98" s="8" t="s">
        <v>301</v>
      </c>
      <c r="D98" s="8" t="s">
        <v>28</v>
      </c>
      <c r="E98" s="8" t="s">
        <v>29</v>
      </c>
      <c r="F98" s="8" t="s">
        <v>130</v>
      </c>
      <c r="G98" s="11">
        <v>0</v>
      </c>
      <c r="H98" s="11">
        <v>21.383333333333329</v>
      </c>
      <c r="I98" s="11">
        <v>1</v>
      </c>
      <c r="J98" s="11">
        <v>0</v>
      </c>
      <c r="K98" s="11">
        <v>39.18333333333333</v>
      </c>
      <c r="L98" s="11">
        <v>30.466666666666669</v>
      </c>
      <c r="M98" s="11">
        <v>102.92506666666669</v>
      </c>
    </row>
    <row r="99" spans="1:13" x14ac:dyDescent="0.25">
      <c r="A99" s="6">
        <v>34</v>
      </c>
      <c r="B99" s="6" t="s">
        <v>210</v>
      </c>
      <c r="C99" s="6" t="s">
        <v>300</v>
      </c>
      <c r="D99" s="6" t="s">
        <v>28</v>
      </c>
      <c r="E99" s="6" t="s">
        <v>29</v>
      </c>
      <c r="F99" s="6" t="s">
        <v>130</v>
      </c>
      <c r="G99" s="10">
        <v>0</v>
      </c>
      <c r="H99" s="10">
        <v>34.497033333333327</v>
      </c>
      <c r="I99" s="10">
        <v>3.6833333333333331</v>
      </c>
      <c r="J99" s="10">
        <v>7.35</v>
      </c>
      <c r="K99" s="10">
        <v>57.55</v>
      </c>
      <c r="L99" s="10">
        <v>37.366666666666667</v>
      </c>
      <c r="M99" s="10">
        <v>112.4</v>
      </c>
    </row>
    <row r="100" spans="1:13" x14ac:dyDescent="0.25">
      <c r="A100" s="8">
        <v>34</v>
      </c>
      <c r="B100" s="8" t="s">
        <v>210</v>
      </c>
      <c r="C100" s="8" t="s">
        <v>301</v>
      </c>
      <c r="D100" s="8" t="s">
        <v>28</v>
      </c>
      <c r="E100" s="8" t="s">
        <v>29</v>
      </c>
      <c r="F100" s="8" t="s">
        <v>130</v>
      </c>
      <c r="G100" s="11">
        <v>0</v>
      </c>
      <c r="H100" s="11">
        <v>26.333333333333329</v>
      </c>
      <c r="I100" s="11">
        <v>10.016666666666669</v>
      </c>
      <c r="J100" s="11">
        <v>14.483333333333331</v>
      </c>
      <c r="K100" s="11">
        <v>52.6</v>
      </c>
      <c r="L100" s="11">
        <v>42.233333333333327</v>
      </c>
      <c r="M100" s="11">
        <v>146.08333333333329</v>
      </c>
    </row>
    <row r="101" spans="1:13" x14ac:dyDescent="0.25">
      <c r="A101" s="6">
        <v>35</v>
      </c>
      <c r="B101" s="6" t="s">
        <v>212</v>
      </c>
      <c r="C101" s="6" t="s">
        <v>300</v>
      </c>
      <c r="D101" s="6" t="s">
        <v>28</v>
      </c>
      <c r="E101" s="6" t="s">
        <v>29</v>
      </c>
      <c r="F101" s="6" t="s">
        <v>130</v>
      </c>
      <c r="G101" s="10">
        <v>0</v>
      </c>
      <c r="H101" s="10">
        <v>20.65</v>
      </c>
      <c r="I101" s="10">
        <v>8.668333333333333</v>
      </c>
      <c r="J101" s="10">
        <v>2.9833333333333329</v>
      </c>
      <c r="K101" s="10">
        <v>56.783333333333331</v>
      </c>
      <c r="L101" s="10">
        <v>43.369783333333331</v>
      </c>
      <c r="M101" s="10">
        <v>62.483333333333327</v>
      </c>
    </row>
    <row r="102" spans="1:13" x14ac:dyDescent="0.25">
      <c r="A102" s="8">
        <v>35</v>
      </c>
      <c r="B102" s="8" t="s">
        <v>212</v>
      </c>
      <c r="C102" s="8" t="s">
        <v>301</v>
      </c>
      <c r="D102" s="8" t="s">
        <v>28</v>
      </c>
      <c r="E102" s="8" t="s">
        <v>29</v>
      </c>
      <c r="F102" s="8" t="s">
        <v>130</v>
      </c>
      <c r="G102" s="11">
        <v>0</v>
      </c>
      <c r="H102" s="11">
        <v>21.383333333333329</v>
      </c>
      <c r="I102" s="11">
        <v>1</v>
      </c>
      <c r="J102" s="11">
        <v>0</v>
      </c>
      <c r="K102" s="11">
        <v>39.18333333333333</v>
      </c>
      <c r="L102" s="11">
        <v>30.466666666666669</v>
      </c>
      <c r="M102" s="11">
        <v>102.92506666666669</v>
      </c>
    </row>
    <row r="103" spans="1:13" x14ac:dyDescent="0.25">
      <c r="A103" s="6">
        <v>51</v>
      </c>
      <c r="B103" s="6" t="s">
        <v>281</v>
      </c>
      <c r="C103" s="6" t="s">
        <v>300</v>
      </c>
      <c r="D103" s="6" t="s">
        <v>28</v>
      </c>
      <c r="E103" s="6" t="s">
        <v>29</v>
      </c>
      <c r="F103" s="6" t="s">
        <v>96</v>
      </c>
      <c r="G103" s="10">
        <v>0</v>
      </c>
      <c r="H103" s="10">
        <v>35.56666666666667</v>
      </c>
      <c r="I103" s="10">
        <v>30.984083333333331</v>
      </c>
      <c r="J103" s="10">
        <v>3.3</v>
      </c>
      <c r="K103" s="10">
        <v>67.480850000000004</v>
      </c>
      <c r="L103" s="10">
        <v>48.56666666666667</v>
      </c>
      <c r="M103" s="10">
        <v>79.916666666666671</v>
      </c>
    </row>
    <row r="104" spans="1:13" x14ac:dyDescent="0.25">
      <c r="A104" s="8">
        <v>51</v>
      </c>
      <c r="B104" s="8" t="s">
        <v>281</v>
      </c>
      <c r="C104" s="8" t="s">
        <v>301</v>
      </c>
      <c r="D104" s="8" t="s">
        <v>28</v>
      </c>
      <c r="E104" s="8" t="s">
        <v>29</v>
      </c>
      <c r="F104" s="8" t="s">
        <v>96</v>
      </c>
      <c r="G104" s="11">
        <v>0</v>
      </c>
      <c r="H104" s="11">
        <v>48.18333333333333</v>
      </c>
      <c r="I104" s="11">
        <v>17.666666666666671</v>
      </c>
      <c r="J104" s="11">
        <v>10.233333333333331</v>
      </c>
      <c r="K104" s="11">
        <v>51.033333333333331</v>
      </c>
      <c r="L104" s="11">
        <v>37.133333333333333</v>
      </c>
      <c r="M104" s="11">
        <v>121.31666666666671</v>
      </c>
    </row>
    <row r="105" spans="1:13" x14ac:dyDescent="0.25">
      <c r="A105" s="6">
        <v>52</v>
      </c>
      <c r="B105" s="6" t="s">
        <v>283</v>
      </c>
      <c r="C105" s="6" t="s">
        <v>300</v>
      </c>
      <c r="D105" s="6" t="s">
        <v>28</v>
      </c>
      <c r="E105" s="6" t="s">
        <v>29</v>
      </c>
      <c r="F105" s="6" t="s">
        <v>130</v>
      </c>
      <c r="G105" s="10">
        <v>0</v>
      </c>
      <c r="H105" s="10">
        <v>35.1</v>
      </c>
      <c r="I105" s="10">
        <v>15.116666666666671</v>
      </c>
      <c r="J105" s="10">
        <v>6.6</v>
      </c>
      <c r="K105" s="10">
        <v>73.302949999999996</v>
      </c>
      <c r="L105" s="10">
        <v>55.483333333333327</v>
      </c>
      <c r="M105" s="10">
        <v>78.349999999999994</v>
      </c>
    </row>
    <row r="106" spans="1:13" x14ac:dyDescent="0.25">
      <c r="A106" s="8">
        <v>52</v>
      </c>
      <c r="B106" s="8" t="s">
        <v>283</v>
      </c>
      <c r="C106" s="8" t="s">
        <v>301</v>
      </c>
      <c r="D106" s="8" t="s">
        <v>28</v>
      </c>
      <c r="E106" s="8" t="s">
        <v>29</v>
      </c>
      <c r="F106" s="8" t="s">
        <v>130</v>
      </c>
      <c r="G106" s="11">
        <v>0</v>
      </c>
      <c r="H106" s="11">
        <v>26.333333333333329</v>
      </c>
      <c r="I106" s="11">
        <v>10.016666666666669</v>
      </c>
      <c r="J106" s="11">
        <v>14.15</v>
      </c>
      <c r="K106" s="11">
        <v>51.266666666666673</v>
      </c>
      <c r="L106" s="11">
        <v>41.040366666666657</v>
      </c>
      <c r="M106" s="11">
        <v>143.5333333333333</v>
      </c>
    </row>
    <row r="109" spans="1:13" ht="27.95" customHeight="1" x14ac:dyDescent="0.25">
      <c r="A109" s="55" t="s">
        <v>369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</row>
    <row r="110" spans="1:13" ht="3.9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2" spans="1:13" ht="30" x14ac:dyDescent="0.25">
      <c r="A112" s="9" t="s">
        <v>59</v>
      </c>
      <c r="B112" s="9" t="s">
        <v>60</v>
      </c>
      <c r="C112" s="9" t="s">
        <v>292</v>
      </c>
      <c r="D112" s="9" t="s">
        <v>24</v>
      </c>
      <c r="E112" s="9" t="s">
        <v>61</v>
      </c>
      <c r="F112" s="9" t="s">
        <v>62</v>
      </c>
      <c r="G112" s="9" t="s">
        <v>293</v>
      </c>
      <c r="H112" s="9" t="s">
        <v>294</v>
      </c>
      <c r="I112" s="9" t="s">
        <v>295</v>
      </c>
      <c r="J112" s="9" t="s">
        <v>296</v>
      </c>
      <c r="K112" s="9" t="s">
        <v>297</v>
      </c>
      <c r="L112" s="9" t="s">
        <v>298</v>
      </c>
      <c r="M112" s="9" t="s">
        <v>299</v>
      </c>
    </row>
    <row r="113" spans="1:13" x14ac:dyDescent="0.25">
      <c r="A113" s="6">
        <v>4</v>
      </c>
      <c r="B113" s="6" t="s">
        <v>95</v>
      </c>
      <c r="C113" s="6" t="s">
        <v>300</v>
      </c>
      <c r="D113" s="6" t="s">
        <v>28</v>
      </c>
      <c r="E113" s="6" t="s">
        <v>29</v>
      </c>
      <c r="F113" s="6" t="s">
        <v>96</v>
      </c>
      <c r="G113" s="10">
        <v>0</v>
      </c>
      <c r="H113" s="10">
        <v>0.35568686098748031</v>
      </c>
      <c r="I113" s="10">
        <v>0.57585003194744566</v>
      </c>
      <c r="J113" s="10">
        <v>0.62657519758941227</v>
      </c>
      <c r="K113" s="10">
        <v>44.777394576317398</v>
      </c>
      <c r="L113" s="10">
        <v>31.030770141318762</v>
      </c>
      <c r="M113" s="10">
        <v>70.832492215617009</v>
      </c>
    </row>
    <row r="114" spans="1:13" x14ac:dyDescent="0.25">
      <c r="A114" s="8">
        <v>4</v>
      </c>
      <c r="B114" s="8" t="s">
        <v>95</v>
      </c>
      <c r="C114" s="8" t="s">
        <v>301</v>
      </c>
      <c r="D114" s="8" t="s">
        <v>28</v>
      </c>
      <c r="E114" s="8" t="s">
        <v>29</v>
      </c>
      <c r="F114" s="8" t="s">
        <v>96</v>
      </c>
      <c r="G114" s="11">
        <v>0</v>
      </c>
      <c r="H114" s="11">
        <v>0.83987814360898194</v>
      </c>
      <c r="I114" s="11">
        <v>1.7979996304002079</v>
      </c>
      <c r="J114" s="11">
        <v>0.57590785271071809</v>
      </c>
      <c r="K114" s="11">
        <v>16.043682536598411</v>
      </c>
      <c r="L114" s="11">
        <v>16.779596658523619</v>
      </c>
      <c r="M114" s="11">
        <v>112.0883548622644</v>
      </c>
    </row>
    <row r="115" spans="1:13" x14ac:dyDescent="0.25">
      <c r="A115" s="6">
        <v>5</v>
      </c>
      <c r="B115" s="6" t="s">
        <v>102</v>
      </c>
      <c r="C115" s="6" t="s">
        <v>300</v>
      </c>
      <c r="D115" s="6" t="s">
        <v>28</v>
      </c>
      <c r="E115" s="6" t="s">
        <v>29</v>
      </c>
      <c r="F115" s="6" t="s">
        <v>96</v>
      </c>
      <c r="G115" s="10">
        <v>0</v>
      </c>
      <c r="H115" s="10">
        <v>0.35568686098748031</v>
      </c>
      <c r="I115" s="10">
        <v>0.46935934842854138</v>
      </c>
      <c r="J115" s="10">
        <v>0.35650575379932598</v>
      </c>
      <c r="K115" s="10">
        <v>43.251327961348252</v>
      </c>
      <c r="L115" s="10">
        <v>30.282041524727092</v>
      </c>
      <c r="M115" s="10">
        <v>66.907081684469304</v>
      </c>
    </row>
    <row r="116" spans="1:13" x14ac:dyDescent="0.25">
      <c r="A116" s="8">
        <v>5</v>
      </c>
      <c r="B116" s="8" t="s">
        <v>102</v>
      </c>
      <c r="C116" s="8" t="s">
        <v>301</v>
      </c>
      <c r="D116" s="8" t="s">
        <v>28</v>
      </c>
      <c r="E116" s="8" t="s">
        <v>29</v>
      </c>
      <c r="F116" s="8" t="s">
        <v>96</v>
      </c>
      <c r="G116" s="11">
        <v>0</v>
      </c>
      <c r="H116" s="11">
        <v>0.22156090055420241</v>
      </c>
      <c r="I116" s="11">
        <v>0</v>
      </c>
      <c r="J116" s="11">
        <v>0.11647473715777031</v>
      </c>
      <c r="K116" s="11">
        <v>21.52228685090974</v>
      </c>
      <c r="L116" s="11">
        <v>17.072623143274491</v>
      </c>
      <c r="M116" s="11">
        <v>102.738159054381</v>
      </c>
    </row>
    <row r="117" spans="1:13" x14ac:dyDescent="0.25">
      <c r="A117" s="6">
        <v>6</v>
      </c>
      <c r="B117" s="6" t="s">
        <v>108</v>
      </c>
      <c r="C117" s="6" t="s">
        <v>300</v>
      </c>
      <c r="D117" s="6" t="s">
        <v>28</v>
      </c>
      <c r="E117" s="6" t="s">
        <v>29</v>
      </c>
      <c r="F117" s="6" t="s">
        <v>96</v>
      </c>
      <c r="G117" s="10">
        <v>0</v>
      </c>
      <c r="H117" s="10">
        <v>0.38306581509713777</v>
      </c>
      <c r="I117" s="10">
        <v>2.3361160569771502</v>
      </c>
      <c r="J117" s="10">
        <v>0.20461421027387261</v>
      </c>
      <c r="K117" s="10">
        <v>38.636070215722071</v>
      </c>
      <c r="L117" s="10">
        <v>26.286683002730651</v>
      </c>
      <c r="M117" s="10">
        <v>80.361862644527108</v>
      </c>
    </row>
    <row r="118" spans="1:13" x14ac:dyDescent="0.25">
      <c r="A118" s="8">
        <v>6</v>
      </c>
      <c r="B118" s="8" t="s">
        <v>108</v>
      </c>
      <c r="C118" s="8" t="s">
        <v>301</v>
      </c>
      <c r="D118" s="8" t="s">
        <v>28</v>
      </c>
      <c r="E118" s="8" t="s">
        <v>29</v>
      </c>
      <c r="F118" s="8" t="s">
        <v>96</v>
      </c>
      <c r="G118" s="11">
        <v>0</v>
      </c>
      <c r="H118" s="11">
        <v>0.83987814360898194</v>
      </c>
      <c r="I118" s="11">
        <v>1.7979996304002079</v>
      </c>
      <c r="J118" s="11">
        <v>0.57590785271071809</v>
      </c>
      <c r="K118" s="11">
        <v>16.043682536598411</v>
      </c>
      <c r="L118" s="11">
        <v>16.779596658523619</v>
      </c>
      <c r="M118" s="11">
        <v>112.1131547520701</v>
      </c>
    </row>
    <row r="119" spans="1:13" x14ac:dyDescent="0.25">
      <c r="A119" s="6">
        <v>7</v>
      </c>
      <c r="B119" s="6" t="s">
        <v>111</v>
      </c>
      <c r="C119" s="6" t="s">
        <v>300</v>
      </c>
      <c r="D119" s="6" t="s">
        <v>28</v>
      </c>
      <c r="E119" s="6" t="s">
        <v>29</v>
      </c>
      <c r="F119" s="6" t="s">
        <v>96</v>
      </c>
      <c r="G119" s="10">
        <v>0</v>
      </c>
      <c r="H119" s="10">
        <v>0.4715380269015641</v>
      </c>
      <c r="I119" s="10">
        <v>0.72334267161559207</v>
      </c>
      <c r="J119" s="10">
        <v>0.62657519758941227</v>
      </c>
      <c r="K119" s="10">
        <v>44.372426251753588</v>
      </c>
      <c r="L119" s="10">
        <v>30.69503766819436</v>
      </c>
      <c r="M119" s="10">
        <v>69.221442413661691</v>
      </c>
    </row>
    <row r="120" spans="1:13" x14ac:dyDescent="0.25">
      <c r="A120" s="8">
        <v>7</v>
      </c>
      <c r="B120" s="8" t="s">
        <v>111</v>
      </c>
      <c r="C120" s="8" t="s">
        <v>301</v>
      </c>
      <c r="D120" s="8" t="s">
        <v>28</v>
      </c>
      <c r="E120" s="8" t="s">
        <v>29</v>
      </c>
      <c r="F120" s="8" t="s">
        <v>96</v>
      </c>
      <c r="G120" s="11">
        <v>0</v>
      </c>
      <c r="H120" s="11">
        <v>0.56746055645718996</v>
      </c>
      <c r="I120" s="11">
        <v>0.55256306869115623</v>
      </c>
      <c r="J120" s="11">
        <v>1.005496809016533</v>
      </c>
      <c r="K120" s="11">
        <v>27.609909695058061</v>
      </c>
      <c r="L120" s="11">
        <v>19.892928271907479</v>
      </c>
      <c r="M120" s="11">
        <v>96.565811989808935</v>
      </c>
    </row>
    <row r="121" spans="1:13" x14ac:dyDescent="0.25">
      <c r="A121" s="6">
        <v>8</v>
      </c>
      <c r="B121" s="6" t="s">
        <v>117</v>
      </c>
      <c r="C121" s="6" t="s">
        <v>300</v>
      </c>
      <c r="D121" s="6" t="s">
        <v>28</v>
      </c>
      <c r="E121" s="6" t="s">
        <v>29</v>
      </c>
      <c r="F121" s="6" t="s">
        <v>96</v>
      </c>
      <c r="G121" s="10">
        <v>0</v>
      </c>
      <c r="H121" s="10">
        <v>0.37366038708160421</v>
      </c>
      <c r="I121" s="10">
        <v>0.70152151256216355</v>
      </c>
      <c r="J121" s="10">
        <v>0</v>
      </c>
      <c r="K121" s="10">
        <v>37.607352721049807</v>
      </c>
      <c r="L121" s="10">
        <v>27.61065850344794</v>
      </c>
      <c r="M121" s="10">
        <v>81.51318776562465</v>
      </c>
    </row>
    <row r="122" spans="1:13" x14ac:dyDescent="0.25">
      <c r="A122" s="8">
        <v>8</v>
      </c>
      <c r="B122" s="8" t="s">
        <v>117</v>
      </c>
      <c r="C122" s="8" t="s">
        <v>301</v>
      </c>
      <c r="D122" s="8" t="s">
        <v>28</v>
      </c>
      <c r="E122" s="8" t="s">
        <v>29</v>
      </c>
      <c r="F122" s="8" t="s">
        <v>96</v>
      </c>
      <c r="G122" s="11">
        <v>0</v>
      </c>
      <c r="H122" s="11">
        <v>0.83987814360898194</v>
      </c>
      <c r="I122" s="11">
        <v>1.7979996304002079</v>
      </c>
      <c r="J122" s="11">
        <v>0.46558889600755871</v>
      </c>
      <c r="K122" s="11">
        <v>16.046588129687478</v>
      </c>
      <c r="L122" s="11">
        <v>16.779596658523619</v>
      </c>
      <c r="M122" s="11">
        <v>111.8050567661586</v>
      </c>
    </row>
    <row r="123" spans="1:13" x14ac:dyDescent="0.25">
      <c r="A123" s="6">
        <v>9</v>
      </c>
      <c r="B123" s="6" t="s">
        <v>121</v>
      </c>
      <c r="C123" s="6" t="s">
        <v>300</v>
      </c>
      <c r="D123" s="6" t="s">
        <v>28</v>
      </c>
      <c r="E123" s="6" t="s">
        <v>29</v>
      </c>
      <c r="F123" s="6" t="s">
        <v>96</v>
      </c>
      <c r="G123" s="10">
        <v>0</v>
      </c>
      <c r="H123" s="10">
        <v>0.47498370401507511</v>
      </c>
      <c r="I123" s="10">
        <v>0.57585003194744566</v>
      </c>
      <c r="J123" s="10">
        <v>0.62657519758941227</v>
      </c>
      <c r="K123" s="10">
        <v>45.772824782401209</v>
      </c>
      <c r="L123" s="10">
        <v>32.149418815464323</v>
      </c>
      <c r="M123" s="10">
        <v>73.935191620178145</v>
      </c>
    </row>
    <row r="124" spans="1:13" x14ac:dyDescent="0.25">
      <c r="A124" s="8">
        <v>9</v>
      </c>
      <c r="B124" s="8" t="s">
        <v>121</v>
      </c>
      <c r="C124" s="8" t="s">
        <v>301</v>
      </c>
      <c r="D124" s="8" t="s">
        <v>28</v>
      </c>
      <c r="E124" s="8" t="s">
        <v>29</v>
      </c>
      <c r="F124" s="8" t="s">
        <v>96</v>
      </c>
      <c r="G124" s="11">
        <v>0</v>
      </c>
      <c r="H124" s="11">
        <v>0.65269298090049266</v>
      </c>
      <c r="I124" s="11">
        <v>1.4671353884529701</v>
      </c>
      <c r="J124" s="11">
        <v>1.3169091629820999</v>
      </c>
      <c r="K124" s="11">
        <v>32.191335446084793</v>
      </c>
      <c r="L124" s="11">
        <v>24.26414905968165</v>
      </c>
      <c r="M124" s="11">
        <v>93.660439746609754</v>
      </c>
    </row>
    <row r="125" spans="1:13" x14ac:dyDescent="0.25">
      <c r="A125" s="6">
        <v>10</v>
      </c>
      <c r="B125" s="6" t="s">
        <v>126</v>
      </c>
      <c r="C125" s="6" t="s">
        <v>300</v>
      </c>
      <c r="D125" s="6" t="s">
        <v>28</v>
      </c>
      <c r="E125" s="6" t="s">
        <v>29</v>
      </c>
      <c r="F125" s="6" t="s">
        <v>96</v>
      </c>
      <c r="G125" s="10">
        <v>0</v>
      </c>
      <c r="H125" s="10">
        <v>0.59332623218911007</v>
      </c>
      <c r="I125" s="10">
        <v>0.50673195714436814</v>
      </c>
      <c r="J125" s="10">
        <v>0.17990784099446211</v>
      </c>
      <c r="K125" s="10">
        <v>45.789637948542399</v>
      </c>
      <c r="L125" s="10">
        <v>33.363070952937612</v>
      </c>
      <c r="M125" s="10">
        <v>67.975437349422975</v>
      </c>
    </row>
    <row r="126" spans="1:13" x14ac:dyDescent="0.25">
      <c r="A126" s="8">
        <v>10</v>
      </c>
      <c r="B126" s="8" t="s">
        <v>126</v>
      </c>
      <c r="C126" s="8" t="s">
        <v>301</v>
      </c>
      <c r="D126" s="8" t="s">
        <v>28</v>
      </c>
      <c r="E126" s="8" t="s">
        <v>29</v>
      </c>
      <c r="F126" s="8" t="s">
        <v>96</v>
      </c>
      <c r="G126" s="11">
        <v>0</v>
      </c>
      <c r="H126" s="11">
        <v>0.83987814360898194</v>
      </c>
      <c r="I126" s="11">
        <v>1.7979996304002079</v>
      </c>
      <c r="J126" s="11">
        <v>0.57590785271071809</v>
      </c>
      <c r="K126" s="11">
        <v>16.043682536598411</v>
      </c>
      <c r="L126" s="11">
        <v>16.779596658523619</v>
      </c>
      <c r="M126" s="11">
        <v>112.1322772301322</v>
      </c>
    </row>
    <row r="127" spans="1:13" x14ac:dyDescent="0.25">
      <c r="A127" s="6">
        <v>11</v>
      </c>
      <c r="B127" s="6" t="s">
        <v>129</v>
      </c>
      <c r="C127" s="6" t="s">
        <v>300</v>
      </c>
      <c r="D127" s="6" t="s">
        <v>28</v>
      </c>
      <c r="E127" s="6" t="s">
        <v>29</v>
      </c>
      <c r="F127" s="6" t="s">
        <v>130</v>
      </c>
      <c r="G127" s="10">
        <v>0</v>
      </c>
      <c r="H127" s="10">
        <v>1.3321013582624259</v>
      </c>
      <c r="I127" s="10">
        <v>0.75410540916294477</v>
      </c>
      <c r="J127" s="10">
        <v>0.43943113160824449</v>
      </c>
      <c r="K127" s="10">
        <v>42.768056236857731</v>
      </c>
      <c r="L127" s="10">
        <v>29.775024172432051</v>
      </c>
      <c r="M127" s="10">
        <v>68.609609149335569</v>
      </c>
    </row>
    <row r="128" spans="1:13" x14ac:dyDescent="0.25">
      <c r="A128" s="8">
        <v>11</v>
      </c>
      <c r="B128" s="8" t="s">
        <v>129</v>
      </c>
      <c r="C128" s="8" t="s">
        <v>301</v>
      </c>
      <c r="D128" s="8" t="s">
        <v>28</v>
      </c>
      <c r="E128" s="8" t="s">
        <v>29</v>
      </c>
      <c r="F128" s="8" t="s">
        <v>130</v>
      </c>
      <c r="G128" s="11">
        <v>0</v>
      </c>
      <c r="H128" s="11">
        <v>0.43407803900839542</v>
      </c>
      <c r="I128" s="11">
        <v>2.0389552164336071</v>
      </c>
      <c r="J128" s="11">
        <v>0.27011205530314503</v>
      </c>
      <c r="K128" s="11">
        <v>30.597979144685119</v>
      </c>
      <c r="L128" s="11">
        <v>25.113544257186629</v>
      </c>
      <c r="M128" s="11">
        <v>85.251434402970759</v>
      </c>
    </row>
    <row r="129" spans="1:13" x14ac:dyDescent="0.25">
      <c r="A129" s="6">
        <v>12</v>
      </c>
      <c r="B129" s="6" t="s">
        <v>136</v>
      </c>
      <c r="C129" s="6" t="s">
        <v>300</v>
      </c>
      <c r="D129" s="6" t="s">
        <v>28</v>
      </c>
      <c r="E129" s="6" t="s">
        <v>29</v>
      </c>
      <c r="F129" s="6" t="s">
        <v>130</v>
      </c>
      <c r="G129" s="10">
        <v>0</v>
      </c>
      <c r="H129" s="10">
        <v>0.9969610105345994</v>
      </c>
      <c r="I129" s="10">
        <v>0.70531249288605091</v>
      </c>
      <c r="J129" s="10">
        <v>0</v>
      </c>
      <c r="K129" s="10">
        <v>41.444028126689659</v>
      </c>
      <c r="L129" s="10">
        <v>29.143387878980331</v>
      </c>
      <c r="M129" s="10">
        <v>64.401008346932969</v>
      </c>
    </row>
    <row r="130" spans="1:13" x14ac:dyDescent="0.25">
      <c r="A130" s="8">
        <v>12</v>
      </c>
      <c r="B130" s="8" t="s">
        <v>136</v>
      </c>
      <c r="C130" s="8" t="s">
        <v>301</v>
      </c>
      <c r="D130" s="8" t="s">
        <v>28</v>
      </c>
      <c r="E130" s="8" t="s">
        <v>29</v>
      </c>
      <c r="F130" s="8" t="s">
        <v>130</v>
      </c>
      <c r="G130" s="11">
        <v>0</v>
      </c>
      <c r="H130" s="11">
        <v>0.11699904226004509</v>
      </c>
      <c r="I130" s="11">
        <v>0.96438076555850782</v>
      </c>
      <c r="J130" s="11">
        <v>0.77930295991607568</v>
      </c>
      <c r="K130" s="11">
        <v>36.712209444916184</v>
      </c>
      <c r="L130" s="11">
        <v>25.040527354235781</v>
      </c>
      <c r="M130" s="11">
        <v>74.293641117732662</v>
      </c>
    </row>
    <row r="131" spans="1:13" x14ac:dyDescent="0.25">
      <c r="A131" s="6">
        <v>13</v>
      </c>
      <c r="B131" s="6" t="s">
        <v>141</v>
      </c>
      <c r="C131" s="6" t="s">
        <v>300</v>
      </c>
      <c r="D131" s="6" t="s">
        <v>28</v>
      </c>
      <c r="E131" s="6" t="s">
        <v>29</v>
      </c>
      <c r="F131" s="6" t="s">
        <v>130</v>
      </c>
      <c r="G131" s="10">
        <v>0</v>
      </c>
      <c r="H131" s="10">
        <v>0.5585488688475958</v>
      </c>
      <c r="I131" s="10">
        <v>1.1280191553248591</v>
      </c>
      <c r="J131" s="10">
        <v>0.85257026986061224</v>
      </c>
      <c r="K131" s="10">
        <v>43.558503820487473</v>
      </c>
      <c r="L131" s="10">
        <v>32.438943986672427</v>
      </c>
      <c r="M131" s="10">
        <v>66.332492528405481</v>
      </c>
    </row>
    <row r="132" spans="1:13" x14ac:dyDescent="0.25">
      <c r="A132" s="8">
        <v>13</v>
      </c>
      <c r="B132" s="8" t="s">
        <v>141</v>
      </c>
      <c r="C132" s="8" t="s">
        <v>301</v>
      </c>
      <c r="D132" s="8" t="s">
        <v>28</v>
      </c>
      <c r="E132" s="8" t="s">
        <v>29</v>
      </c>
      <c r="F132" s="8" t="s">
        <v>130</v>
      </c>
      <c r="G132" s="11">
        <v>0</v>
      </c>
      <c r="H132" s="11">
        <v>0.43407803900839542</v>
      </c>
      <c r="I132" s="11">
        <v>2.0574693428543021</v>
      </c>
      <c r="J132" s="11">
        <v>0.27011205530314503</v>
      </c>
      <c r="K132" s="11">
        <v>30.597979144685119</v>
      </c>
      <c r="L132" s="11">
        <v>25.113544257186629</v>
      </c>
      <c r="M132" s="11">
        <v>85.251487097446585</v>
      </c>
    </row>
    <row r="133" spans="1:13" x14ac:dyDescent="0.25">
      <c r="A133" s="6">
        <v>14</v>
      </c>
      <c r="B133" s="6" t="s">
        <v>144</v>
      </c>
      <c r="C133" s="6" t="s">
        <v>300</v>
      </c>
      <c r="D133" s="6" t="s">
        <v>28</v>
      </c>
      <c r="E133" s="6" t="s">
        <v>29</v>
      </c>
      <c r="F133" s="6" t="s">
        <v>130</v>
      </c>
      <c r="G133" s="10">
        <v>0</v>
      </c>
      <c r="H133" s="10">
        <v>1.156478673390982</v>
      </c>
      <c r="I133" s="10">
        <v>0.51635952825814069</v>
      </c>
      <c r="J133" s="10">
        <v>0.43943113160824449</v>
      </c>
      <c r="K133" s="10">
        <v>35.860322802540047</v>
      </c>
      <c r="L133" s="10">
        <v>24.93604446973648</v>
      </c>
      <c r="M133" s="10">
        <v>61.009959080237223</v>
      </c>
    </row>
    <row r="134" spans="1:13" x14ac:dyDescent="0.25">
      <c r="A134" s="8">
        <v>14</v>
      </c>
      <c r="B134" s="8" t="s">
        <v>144</v>
      </c>
      <c r="C134" s="8" t="s">
        <v>301</v>
      </c>
      <c r="D134" s="8" t="s">
        <v>28</v>
      </c>
      <c r="E134" s="8" t="s">
        <v>29</v>
      </c>
      <c r="F134" s="8" t="s">
        <v>130</v>
      </c>
      <c r="G134" s="11">
        <v>0</v>
      </c>
      <c r="H134" s="11">
        <v>0.1090721560237224</v>
      </c>
      <c r="I134" s="11">
        <v>0.83852134333277595</v>
      </c>
      <c r="J134" s="11">
        <v>0</v>
      </c>
      <c r="K134" s="11">
        <v>28.213201619757211</v>
      </c>
      <c r="L134" s="11">
        <v>20.93633895165053</v>
      </c>
      <c r="M134" s="11">
        <v>73.844802002142799</v>
      </c>
    </row>
    <row r="135" spans="1:13" x14ac:dyDescent="0.25">
      <c r="A135" s="6">
        <v>15</v>
      </c>
      <c r="B135" s="6" t="s">
        <v>150</v>
      </c>
      <c r="C135" s="6" t="s">
        <v>300</v>
      </c>
      <c r="D135" s="6" t="s">
        <v>28</v>
      </c>
      <c r="E135" s="6" t="s">
        <v>29</v>
      </c>
      <c r="F135" s="6" t="s">
        <v>130</v>
      </c>
      <c r="G135" s="10">
        <v>0</v>
      </c>
      <c r="H135" s="10">
        <v>0.52166162348455802</v>
      </c>
      <c r="I135" s="10">
        <v>0.55895774646599539</v>
      </c>
      <c r="J135" s="10">
        <v>0.35482326921949731</v>
      </c>
      <c r="K135" s="10">
        <v>43.320905108620543</v>
      </c>
      <c r="L135" s="10">
        <v>28.28601681705657</v>
      </c>
      <c r="M135" s="10">
        <v>70.673195048294886</v>
      </c>
    </row>
    <row r="136" spans="1:13" x14ac:dyDescent="0.25">
      <c r="A136" s="8">
        <v>15</v>
      </c>
      <c r="B136" s="8" t="s">
        <v>150</v>
      </c>
      <c r="C136" s="8" t="s">
        <v>301</v>
      </c>
      <c r="D136" s="8" t="s">
        <v>28</v>
      </c>
      <c r="E136" s="8" t="s">
        <v>29</v>
      </c>
      <c r="F136" s="8" t="s">
        <v>130</v>
      </c>
      <c r="G136" s="11">
        <v>0</v>
      </c>
      <c r="H136" s="11">
        <v>0.43407803900839542</v>
      </c>
      <c r="I136" s="11">
        <v>2.0373023196522468</v>
      </c>
      <c r="J136" s="11">
        <v>0.27011205530314503</v>
      </c>
      <c r="K136" s="11">
        <v>30.597979144685119</v>
      </c>
      <c r="L136" s="11">
        <v>25.113544257186629</v>
      </c>
      <c r="M136" s="11">
        <v>85.249995172615314</v>
      </c>
    </row>
    <row r="137" spans="1:13" x14ac:dyDescent="0.25">
      <c r="A137" s="6">
        <v>16</v>
      </c>
      <c r="B137" s="6" t="s">
        <v>153</v>
      </c>
      <c r="C137" s="6" t="s">
        <v>300</v>
      </c>
      <c r="D137" s="6" t="s">
        <v>28</v>
      </c>
      <c r="E137" s="6" t="s">
        <v>29</v>
      </c>
      <c r="F137" s="6" t="s">
        <v>130</v>
      </c>
      <c r="G137" s="10">
        <v>0</v>
      </c>
      <c r="H137" s="10">
        <v>1.349334550099321</v>
      </c>
      <c r="I137" s="10">
        <v>0.85626343374075942</v>
      </c>
      <c r="J137" s="10">
        <v>0.6700482500107362</v>
      </c>
      <c r="K137" s="10">
        <v>44.025744768194123</v>
      </c>
      <c r="L137" s="10">
        <v>31.17572674470658</v>
      </c>
      <c r="M137" s="10">
        <v>74.16217403535677</v>
      </c>
    </row>
    <row r="138" spans="1:13" x14ac:dyDescent="0.25">
      <c r="A138" s="8">
        <v>16</v>
      </c>
      <c r="B138" s="8" t="s">
        <v>153</v>
      </c>
      <c r="C138" s="8" t="s">
        <v>301</v>
      </c>
      <c r="D138" s="8" t="s">
        <v>28</v>
      </c>
      <c r="E138" s="8" t="s">
        <v>29</v>
      </c>
      <c r="F138" s="8" t="s">
        <v>130</v>
      </c>
      <c r="G138" s="11">
        <v>0</v>
      </c>
      <c r="H138" s="11">
        <v>0.32294108699012902</v>
      </c>
      <c r="I138" s="11">
        <v>0.5256426997626461</v>
      </c>
      <c r="J138" s="11">
        <v>1.2222826160609359</v>
      </c>
      <c r="K138" s="11">
        <v>30.18268163700424</v>
      </c>
      <c r="L138" s="11">
        <v>24.79776882222491</v>
      </c>
      <c r="M138" s="11">
        <v>96.896273385660237</v>
      </c>
    </row>
    <row r="139" spans="1:13" x14ac:dyDescent="0.25">
      <c r="A139" s="6">
        <v>17</v>
      </c>
      <c r="B139" s="6" t="s">
        <v>158</v>
      </c>
      <c r="C139" s="6" t="s">
        <v>300</v>
      </c>
      <c r="D139" s="6" t="s">
        <v>28</v>
      </c>
      <c r="E139" s="6" t="s">
        <v>29</v>
      </c>
      <c r="F139" s="6" t="s">
        <v>130</v>
      </c>
      <c r="G139" s="10">
        <v>0</v>
      </c>
      <c r="H139" s="10">
        <v>0.1862366457606098</v>
      </c>
      <c r="I139" s="10">
        <v>0.28644165794522208</v>
      </c>
      <c r="J139" s="10">
        <v>0.30638082516478932</v>
      </c>
      <c r="K139" s="10">
        <v>51.040210715733267</v>
      </c>
      <c r="L139" s="10">
        <v>36.752369717980088</v>
      </c>
      <c r="M139" s="10">
        <v>57.027122505769483</v>
      </c>
    </row>
    <row r="140" spans="1:13" x14ac:dyDescent="0.25">
      <c r="A140" s="8">
        <v>17</v>
      </c>
      <c r="B140" s="8" t="s">
        <v>158</v>
      </c>
      <c r="C140" s="8" t="s">
        <v>301</v>
      </c>
      <c r="D140" s="8" t="s">
        <v>28</v>
      </c>
      <c r="E140" s="8" t="s">
        <v>29</v>
      </c>
      <c r="F140" s="8" t="s">
        <v>130</v>
      </c>
      <c r="G140" s="11">
        <v>0</v>
      </c>
      <c r="H140" s="11">
        <v>0.43407803900839542</v>
      </c>
      <c r="I140" s="11">
        <v>2.031482381418694</v>
      </c>
      <c r="J140" s="11">
        <v>0.27011205530314503</v>
      </c>
      <c r="K140" s="11">
        <v>30.597979144685119</v>
      </c>
      <c r="L140" s="11">
        <v>25.113544257186629</v>
      </c>
      <c r="M140" s="11">
        <v>85.372241243471635</v>
      </c>
    </row>
    <row r="141" spans="1:13" x14ac:dyDescent="0.25">
      <c r="A141" s="6">
        <v>18</v>
      </c>
      <c r="B141" s="6" t="s">
        <v>162</v>
      </c>
      <c r="C141" s="6" t="s">
        <v>300</v>
      </c>
      <c r="D141" s="6" t="s">
        <v>28</v>
      </c>
      <c r="E141" s="6" t="s">
        <v>29</v>
      </c>
      <c r="F141" s="6" t="s">
        <v>96</v>
      </c>
      <c r="G141" s="10">
        <v>0</v>
      </c>
      <c r="H141" s="10">
        <v>0.38306581509713777</v>
      </c>
      <c r="I141" s="10">
        <v>2.078327234216284</v>
      </c>
      <c r="J141" s="10">
        <v>0.20461421027387261</v>
      </c>
      <c r="K141" s="10">
        <v>36.808470594235978</v>
      </c>
      <c r="L141" s="10">
        <v>24.895439135578741</v>
      </c>
      <c r="M141" s="10">
        <v>77.229137978621239</v>
      </c>
    </row>
    <row r="142" spans="1:13" x14ac:dyDescent="0.25">
      <c r="A142" s="8">
        <v>18</v>
      </c>
      <c r="B142" s="8" t="s">
        <v>162</v>
      </c>
      <c r="C142" s="8" t="s">
        <v>301</v>
      </c>
      <c r="D142" s="8" t="s">
        <v>28</v>
      </c>
      <c r="E142" s="8" t="s">
        <v>29</v>
      </c>
      <c r="F142" s="8" t="s">
        <v>96</v>
      </c>
      <c r="G142" s="11">
        <v>0</v>
      </c>
      <c r="H142" s="11">
        <v>0.22156090055420241</v>
      </c>
      <c r="I142" s="11">
        <v>0</v>
      </c>
      <c r="J142" s="11">
        <v>0.11647473715777031</v>
      </c>
      <c r="K142" s="11">
        <v>21.52025885865341</v>
      </c>
      <c r="L142" s="11">
        <v>17.069852156212249</v>
      </c>
      <c r="M142" s="11">
        <v>102.738159054381</v>
      </c>
    </row>
    <row r="143" spans="1:13" x14ac:dyDescent="0.25">
      <c r="A143" s="6">
        <v>19</v>
      </c>
      <c r="B143" s="6" t="s">
        <v>165</v>
      </c>
      <c r="C143" s="6" t="s">
        <v>300</v>
      </c>
      <c r="D143" s="6" t="s">
        <v>28</v>
      </c>
      <c r="E143" s="6" t="s">
        <v>29</v>
      </c>
      <c r="F143" s="6" t="s">
        <v>96</v>
      </c>
      <c r="G143" s="10">
        <v>0</v>
      </c>
      <c r="H143" s="10">
        <v>0.38306581509713777</v>
      </c>
      <c r="I143" s="10">
        <v>2.1897722900283969</v>
      </c>
      <c r="J143" s="10">
        <v>0.27392076034226231</v>
      </c>
      <c r="K143" s="10">
        <v>38.075352356880842</v>
      </c>
      <c r="L143" s="10">
        <v>25.722958107605791</v>
      </c>
      <c r="M143" s="10">
        <v>79.472710896771332</v>
      </c>
    </row>
    <row r="144" spans="1:13" x14ac:dyDescent="0.25">
      <c r="A144" s="8">
        <v>19</v>
      </c>
      <c r="B144" s="8" t="s">
        <v>165</v>
      </c>
      <c r="C144" s="8" t="s">
        <v>301</v>
      </c>
      <c r="D144" s="8" t="s">
        <v>28</v>
      </c>
      <c r="E144" s="8" t="s">
        <v>29</v>
      </c>
      <c r="F144" s="8" t="s">
        <v>96</v>
      </c>
      <c r="G144" s="11">
        <v>0</v>
      </c>
      <c r="H144" s="11">
        <v>0.57197412560405814</v>
      </c>
      <c r="I144" s="11">
        <v>0.55256306869115623</v>
      </c>
      <c r="J144" s="11">
        <v>1.033360466311896</v>
      </c>
      <c r="K144" s="11">
        <v>27.609909695058061</v>
      </c>
      <c r="L144" s="11">
        <v>19.892928271907479</v>
      </c>
      <c r="M144" s="11">
        <v>96.565811989808935</v>
      </c>
    </row>
    <row r="145" spans="1:13" x14ac:dyDescent="0.25">
      <c r="A145" s="6">
        <v>20</v>
      </c>
      <c r="B145" s="6" t="s">
        <v>168</v>
      </c>
      <c r="C145" s="6" t="s">
        <v>300</v>
      </c>
      <c r="D145" s="6" t="s">
        <v>28</v>
      </c>
      <c r="E145" s="6" t="s">
        <v>29</v>
      </c>
      <c r="F145" s="6" t="s">
        <v>96</v>
      </c>
      <c r="G145" s="10">
        <v>0</v>
      </c>
      <c r="H145" s="10">
        <v>0.25917593164792052</v>
      </c>
      <c r="I145" s="10">
        <v>0.71970849070423348</v>
      </c>
      <c r="J145" s="10">
        <v>0</v>
      </c>
      <c r="K145" s="10">
        <v>36.700109732675372</v>
      </c>
      <c r="L145" s="10">
        <v>27.29337511764809</v>
      </c>
      <c r="M145" s="10">
        <v>76.745440672119003</v>
      </c>
    </row>
    <row r="146" spans="1:13" x14ac:dyDescent="0.25">
      <c r="A146" s="8">
        <v>20</v>
      </c>
      <c r="B146" s="8" t="s">
        <v>168</v>
      </c>
      <c r="C146" s="8" t="s">
        <v>301</v>
      </c>
      <c r="D146" s="8" t="s">
        <v>28</v>
      </c>
      <c r="E146" s="8" t="s">
        <v>29</v>
      </c>
      <c r="F146" s="8" t="s">
        <v>96</v>
      </c>
      <c r="G146" s="11">
        <v>0</v>
      </c>
      <c r="H146" s="11">
        <v>0.22156090055420241</v>
      </c>
      <c r="I146" s="11">
        <v>0</v>
      </c>
      <c r="J146" s="11">
        <v>0.11647473715777031</v>
      </c>
      <c r="K146" s="11">
        <v>21.563271544616299</v>
      </c>
      <c r="L146" s="11">
        <v>17.074263189728988</v>
      </c>
      <c r="M146" s="11">
        <v>102.738159054381</v>
      </c>
    </row>
    <row r="147" spans="1:13" x14ac:dyDescent="0.25">
      <c r="A147" s="6">
        <v>21</v>
      </c>
      <c r="B147" s="6" t="s">
        <v>171</v>
      </c>
      <c r="C147" s="6" t="s">
        <v>300</v>
      </c>
      <c r="D147" s="6" t="s">
        <v>28</v>
      </c>
      <c r="E147" s="6" t="s">
        <v>29</v>
      </c>
      <c r="F147" s="6" t="s">
        <v>96</v>
      </c>
      <c r="G147" s="10">
        <v>0</v>
      </c>
      <c r="H147" s="10">
        <v>0.38306581509713777</v>
      </c>
      <c r="I147" s="10">
        <v>2.3834357776949719</v>
      </c>
      <c r="J147" s="10">
        <v>0.20461421027387261</v>
      </c>
      <c r="K147" s="10">
        <v>40.286147423309231</v>
      </c>
      <c r="L147" s="10">
        <v>27.901828734973211</v>
      </c>
      <c r="M147" s="10">
        <v>82.42120168353226</v>
      </c>
    </row>
    <row r="148" spans="1:13" x14ac:dyDescent="0.25">
      <c r="A148" s="8">
        <v>21</v>
      </c>
      <c r="B148" s="8" t="s">
        <v>171</v>
      </c>
      <c r="C148" s="8" t="s">
        <v>301</v>
      </c>
      <c r="D148" s="8" t="s">
        <v>28</v>
      </c>
      <c r="E148" s="8" t="s">
        <v>29</v>
      </c>
      <c r="F148" s="8" t="s">
        <v>96</v>
      </c>
      <c r="G148" s="11">
        <v>0</v>
      </c>
      <c r="H148" s="11">
        <v>0.65269298090049266</v>
      </c>
      <c r="I148" s="11">
        <v>1.4671353884529701</v>
      </c>
      <c r="J148" s="11">
        <v>1.3169091629820999</v>
      </c>
      <c r="K148" s="11">
        <v>32.226640796549887</v>
      </c>
      <c r="L148" s="11">
        <v>24.26414905968165</v>
      </c>
      <c r="M148" s="11">
        <v>93.660508823399397</v>
      </c>
    </row>
    <row r="149" spans="1:13" x14ac:dyDescent="0.25">
      <c r="A149" s="6">
        <v>22</v>
      </c>
      <c r="B149" s="6" t="s">
        <v>173</v>
      </c>
      <c r="C149" s="6" t="s">
        <v>300</v>
      </c>
      <c r="D149" s="6" t="s">
        <v>28</v>
      </c>
      <c r="E149" s="6" t="s">
        <v>29</v>
      </c>
      <c r="F149" s="6" t="s">
        <v>96</v>
      </c>
      <c r="G149" s="10">
        <v>0</v>
      </c>
      <c r="H149" s="10">
        <v>0.48442489010916312</v>
      </c>
      <c r="I149" s="10">
        <v>0.3753728936893338</v>
      </c>
      <c r="J149" s="10">
        <v>0.18567692695020599</v>
      </c>
      <c r="K149" s="10">
        <v>43.705091986944623</v>
      </c>
      <c r="L149" s="10">
        <v>31.31100557837641</v>
      </c>
      <c r="M149" s="10">
        <v>65.770164610094071</v>
      </c>
    </row>
    <row r="150" spans="1:13" x14ac:dyDescent="0.25">
      <c r="A150" s="8">
        <v>22</v>
      </c>
      <c r="B150" s="8" t="s">
        <v>173</v>
      </c>
      <c r="C150" s="8" t="s">
        <v>301</v>
      </c>
      <c r="D150" s="8" t="s">
        <v>28</v>
      </c>
      <c r="E150" s="8" t="s">
        <v>29</v>
      </c>
      <c r="F150" s="8" t="s">
        <v>96</v>
      </c>
      <c r="G150" s="11">
        <v>0</v>
      </c>
      <c r="H150" s="11">
        <v>0.22156090055420241</v>
      </c>
      <c r="I150" s="11">
        <v>0</v>
      </c>
      <c r="J150" s="11">
        <v>0.11647473715777031</v>
      </c>
      <c r="K150" s="11">
        <v>21.5665214603954</v>
      </c>
      <c r="L150" s="11">
        <v>17.030681899116161</v>
      </c>
      <c r="M150" s="11">
        <v>102.738159054381</v>
      </c>
    </row>
    <row r="151" spans="1:13" x14ac:dyDescent="0.25">
      <c r="A151" s="6">
        <v>23</v>
      </c>
      <c r="B151" s="6" t="s">
        <v>176</v>
      </c>
      <c r="C151" s="6" t="s">
        <v>300</v>
      </c>
      <c r="D151" s="6" t="s">
        <v>28</v>
      </c>
      <c r="E151" s="6" t="s">
        <v>29</v>
      </c>
      <c r="F151" s="6" t="s">
        <v>130</v>
      </c>
      <c r="G151" s="10">
        <v>0</v>
      </c>
      <c r="H151" s="10">
        <v>0.34290254186703961</v>
      </c>
      <c r="I151" s="10">
        <v>1.0454776733830049</v>
      </c>
      <c r="J151" s="10">
        <v>0.40432001006129498</v>
      </c>
      <c r="K151" s="10">
        <v>41.471081570571563</v>
      </c>
      <c r="L151" s="10">
        <v>30.614880435193118</v>
      </c>
      <c r="M151" s="10">
        <v>63.969189047693213</v>
      </c>
    </row>
    <row r="152" spans="1:13" x14ac:dyDescent="0.25">
      <c r="A152" s="8">
        <v>23</v>
      </c>
      <c r="B152" s="8" t="s">
        <v>176</v>
      </c>
      <c r="C152" s="8" t="s">
        <v>301</v>
      </c>
      <c r="D152" s="8" t="s">
        <v>28</v>
      </c>
      <c r="E152" s="8" t="s">
        <v>29</v>
      </c>
      <c r="F152" s="8" t="s">
        <v>130</v>
      </c>
      <c r="G152" s="11">
        <v>0</v>
      </c>
      <c r="H152" s="11">
        <v>0.11699904226004509</v>
      </c>
      <c r="I152" s="11">
        <v>0.98289890323061291</v>
      </c>
      <c r="J152" s="11">
        <v>0.76496157447860036</v>
      </c>
      <c r="K152" s="11">
        <v>36.712209444916184</v>
      </c>
      <c r="L152" s="11">
        <v>25.040527354235781</v>
      </c>
      <c r="M152" s="11">
        <v>74.293641117732662</v>
      </c>
    </row>
    <row r="153" spans="1:13" x14ac:dyDescent="0.25">
      <c r="A153" s="6">
        <v>24</v>
      </c>
      <c r="B153" s="6" t="s">
        <v>178</v>
      </c>
      <c r="C153" s="6" t="s">
        <v>300</v>
      </c>
      <c r="D153" s="6" t="s">
        <v>28</v>
      </c>
      <c r="E153" s="6" t="s">
        <v>29</v>
      </c>
      <c r="F153" s="6" t="s">
        <v>130</v>
      </c>
      <c r="G153" s="10">
        <v>0</v>
      </c>
      <c r="H153" s="10">
        <v>0.43287959154678851</v>
      </c>
      <c r="I153" s="10">
        <v>0.5147545761381157</v>
      </c>
      <c r="J153" s="10">
        <v>0.73819242016004771</v>
      </c>
      <c r="K153" s="10">
        <v>38.040822350023817</v>
      </c>
      <c r="L153" s="10">
        <v>28.349735048175351</v>
      </c>
      <c r="M153" s="10">
        <v>56.945127768261933</v>
      </c>
    </row>
    <row r="154" spans="1:13" x14ac:dyDescent="0.25">
      <c r="A154" s="8">
        <v>24</v>
      </c>
      <c r="B154" s="8" t="s">
        <v>178</v>
      </c>
      <c r="C154" s="8" t="s">
        <v>301</v>
      </c>
      <c r="D154" s="8" t="s">
        <v>28</v>
      </c>
      <c r="E154" s="8" t="s">
        <v>29</v>
      </c>
      <c r="F154" s="8" t="s">
        <v>130</v>
      </c>
      <c r="G154" s="11">
        <v>0</v>
      </c>
      <c r="H154" s="11">
        <v>0.1090721560237224</v>
      </c>
      <c r="I154" s="11">
        <v>0.87722495457012495</v>
      </c>
      <c r="J154" s="11">
        <v>0</v>
      </c>
      <c r="K154" s="11">
        <v>28.213201619757211</v>
      </c>
      <c r="L154" s="11">
        <v>20.93633895165053</v>
      </c>
      <c r="M154" s="11">
        <v>73.751298912570178</v>
      </c>
    </row>
    <row r="155" spans="1:13" x14ac:dyDescent="0.25">
      <c r="A155" s="6">
        <v>25</v>
      </c>
      <c r="B155" s="6" t="s">
        <v>181</v>
      </c>
      <c r="C155" s="6" t="s">
        <v>300</v>
      </c>
      <c r="D155" s="6" t="s">
        <v>28</v>
      </c>
      <c r="E155" s="6" t="s">
        <v>29</v>
      </c>
      <c r="F155" s="6" t="s">
        <v>130</v>
      </c>
      <c r="G155" s="10">
        <v>0</v>
      </c>
      <c r="H155" s="10">
        <v>0.19263724537963819</v>
      </c>
      <c r="I155" s="10">
        <v>0.55895774646599539</v>
      </c>
      <c r="J155" s="10">
        <v>0.1091649650425091</v>
      </c>
      <c r="K155" s="10">
        <v>41.384212685216482</v>
      </c>
      <c r="L155" s="10">
        <v>26.988321053442991</v>
      </c>
      <c r="M155" s="10">
        <v>67.483594884180178</v>
      </c>
    </row>
    <row r="156" spans="1:13" x14ac:dyDescent="0.25">
      <c r="A156" s="8">
        <v>25</v>
      </c>
      <c r="B156" s="8" t="s">
        <v>181</v>
      </c>
      <c r="C156" s="8" t="s">
        <v>301</v>
      </c>
      <c r="D156" s="8" t="s">
        <v>28</v>
      </c>
      <c r="E156" s="8" t="s">
        <v>29</v>
      </c>
      <c r="F156" s="8" t="s">
        <v>130</v>
      </c>
      <c r="G156" s="11">
        <v>0</v>
      </c>
      <c r="H156" s="11">
        <v>0.11699904226004509</v>
      </c>
      <c r="I156" s="11">
        <v>0.96270223906633912</v>
      </c>
      <c r="J156" s="11">
        <v>0.78217538796692843</v>
      </c>
      <c r="K156" s="11">
        <v>36.712209444916184</v>
      </c>
      <c r="L156" s="11">
        <v>25.040527354235781</v>
      </c>
      <c r="M156" s="11">
        <v>74.293641117732662</v>
      </c>
    </row>
    <row r="157" spans="1:13" x14ac:dyDescent="0.25">
      <c r="A157" s="6">
        <v>26</v>
      </c>
      <c r="B157" s="6" t="s">
        <v>183</v>
      </c>
      <c r="C157" s="6" t="s">
        <v>300</v>
      </c>
      <c r="D157" s="6" t="s">
        <v>28</v>
      </c>
      <c r="E157" s="6" t="s">
        <v>29</v>
      </c>
      <c r="F157" s="6" t="s">
        <v>130</v>
      </c>
      <c r="G157" s="10">
        <v>0</v>
      </c>
      <c r="H157" s="10">
        <v>0.5585488688475958</v>
      </c>
      <c r="I157" s="10">
        <v>1.3470620501331301</v>
      </c>
      <c r="J157" s="10">
        <v>1.1588950583343161</v>
      </c>
      <c r="K157" s="10">
        <v>45.26405758465819</v>
      </c>
      <c r="L157" s="10">
        <v>33.585180420899938</v>
      </c>
      <c r="M157" s="10">
        <v>71.459183582966247</v>
      </c>
    </row>
    <row r="158" spans="1:13" x14ac:dyDescent="0.25">
      <c r="A158" s="8">
        <v>26</v>
      </c>
      <c r="B158" s="8" t="s">
        <v>183</v>
      </c>
      <c r="C158" s="8" t="s">
        <v>301</v>
      </c>
      <c r="D158" s="8" t="s">
        <v>28</v>
      </c>
      <c r="E158" s="8" t="s">
        <v>29</v>
      </c>
      <c r="F158" s="8" t="s">
        <v>130</v>
      </c>
      <c r="G158" s="11">
        <v>0</v>
      </c>
      <c r="H158" s="11">
        <v>0.34145817954491431</v>
      </c>
      <c r="I158" s="11">
        <v>0.5256426997626461</v>
      </c>
      <c r="J158" s="11">
        <v>1.2222826160609359</v>
      </c>
      <c r="K158" s="11">
        <v>30.18268163700424</v>
      </c>
      <c r="L158" s="11">
        <v>24.888619369878651</v>
      </c>
      <c r="M158" s="11">
        <v>96.902750674201656</v>
      </c>
    </row>
    <row r="159" spans="1:13" x14ac:dyDescent="0.25">
      <c r="A159" s="6">
        <v>27</v>
      </c>
      <c r="B159" s="6" t="s">
        <v>186</v>
      </c>
      <c r="C159" s="6" t="s">
        <v>300</v>
      </c>
      <c r="D159" s="6" t="s">
        <v>28</v>
      </c>
      <c r="E159" s="6" t="s">
        <v>29</v>
      </c>
      <c r="F159" s="6" t="s">
        <v>130</v>
      </c>
      <c r="G159" s="10">
        <v>0</v>
      </c>
      <c r="H159" s="10">
        <v>0.1769495542483206</v>
      </c>
      <c r="I159" s="10">
        <v>0.28644165794522208</v>
      </c>
      <c r="J159" s="10">
        <v>0.23768555241039721</v>
      </c>
      <c r="K159" s="10">
        <v>48.513466786391881</v>
      </c>
      <c r="L159" s="10">
        <v>34.664168060301797</v>
      </c>
      <c r="M159" s="10">
        <v>54.415752988771978</v>
      </c>
    </row>
    <row r="160" spans="1:13" x14ac:dyDescent="0.25">
      <c r="A160" s="8">
        <v>27</v>
      </c>
      <c r="B160" s="8" t="s">
        <v>186</v>
      </c>
      <c r="C160" s="8" t="s">
        <v>301</v>
      </c>
      <c r="D160" s="8" t="s">
        <v>28</v>
      </c>
      <c r="E160" s="8" t="s">
        <v>29</v>
      </c>
      <c r="F160" s="8" t="s">
        <v>130</v>
      </c>
      <c r="G160" s="11">
        <v>0</v>
      </c>
      <c r="H160" s="11">
        <v>0.11699904226004509</v>
      </c>
      <c r="I160" s="11">
        <v>0.95688081818818838</v>
      </c>
      <c r="J160" s="11">
        <v>0.74908888986193567</v>
      </c>
      <c r="K160" s="11">
        <v>36.712209444916184</v>
      </c>
      <c r="L160" s="11">
        <v>25.040527354235781</v>
      </c>
      <c r="M160" s="11">
        <v>74.293641117732662</v>
      </c>
    </row>
    <row r="161" spans="1:13" x14ac:dyDescent="0.25">
      <c r="A161" s="6">
        <v>28</v>
      </c>
      <c r="B161" s="6" t="s">
        <v>188</v>
      </c>
      <c r="C161" s="6" t="s">
        <v>300</v>
      </c>
      <c r="D161" s="6" t="s">
        <v>28</v>
      </c>
      <c r="E161" s="6" t="s">
        <v>29</v>
      </c>
      <c r="F161" s="6" t="s">
        <v>96</v>
      </c>
      <c r="G161" s="10">
        <v>0</v>
      </c>
      <c r="H161" s="10">
        <v>0.25917593164792052</v>
      </c>
      <c r="I161" s="10">
        <v>0.70863313939923567</v>
      </c>
      <c r="J161" s="10">
        <v>0</v>
      </c>
      <c r="K161" s="10">
        <v>37.603304668082593</v>
      </c>
      <c r="L161" s="10">
        <v>27.74280476419689</v>
      </c>
      <c r="M161" s="10">
        <v>79.592523770954102</v>
      </c>
    </row>
    <row r="162" spans="1:13" x14ac:dyDescent="0.25">
      <c r="A162" s="8">
        <v>28</v>
      </c>
      <c r="B162" s="8" t="s">
        <v>188</v>
      </c>
      <c r="C162" s="8" t="s">
        <v>301</v>
      </c>
      <c r="D162" s="8" t="s">
        <v>28</v>
      </c>
      <c r="E162" s="8" t="s">
        <v>29</v>
      </c>
      <c r="F162" s="8" t="s">
        <v>96</v>
      </c>
      <c r="G162" s="11">
        <v>0</v>
      </c>
      <c r="H162" s="11">
        <v>0.54905123843358739</v>
      </c>
      <c r="I162" s="11">
        <v>0.55256306869115623</v>
      </c>
      <c r="J162" s="11">
        <v>0.82406643556007364</v>
      </c>
      <c r="K162" s="11">
        <v>27.609909695058061</v>
      </c>
      <c r="L162" s="11">
        <v>19.892928271907479</v>
      </c>
      <c r="M162" s="11">
        <v>96.565811989808935</v>
      </c>
    </row>
    <row r="163" spans="1:13" x14ac:dyDescent="0.25">
      <c r="A163" s="6">
        <v>29</v>
      </c>
      <c r="B163" s="6" t="s">
        <v>192</v>
      </c>
      <c r="C163" s="6" t="s">
        <v>300</v>
      </c>
      <c r="D163" s="6" t="s">
        <v>28</v>
      </c>
      <c r="E163" s="6" t="s">
        <v>29</v>
      </c>
      <c r="F163" s="6" t="s">
        <v>96</v>
      </c>
      <c r="G163" s="10">
        <v>0</v>
      </c>
      <c r="H163" s="10">
        <v>0.37366038708160421</v>
      </c>
      <c r="I163" s="10">
        <v>0.81249600997082738</v>
      </c>
      <c r="J163" s="10">
        <v>0</v>
      </c>
      <c r="K163" s="10">
        <v>37.762458193898382</v>
      </c>
      <c r="L163" s="10">
        <v>27.857434291214389</v>
      </c>
      <c r="M163" s="10">
        <v>81.812407450945699</v>
      </c>
    </row>
    <row r="164" spans="1:13" x14ac:dyDescent="0.25">
      <c r="A164" s="8">
        <v>29</v>
      </c>
      <c r="B164" s="8" t="s">
        <v>192</v>
      </c>
      <c r="C164" s="8" t="s">
        <v>301</v>
      </c>
      <c r="D164" s="8" t="s">
        <v>28</v>
      </c>
      <c r="E164" s="8" t="s">
        <v>29</v>
      </c>
      <c r="F164" s="8" t="s">
        <v>96</v>
      </c>
      <c r="G164" s="11">
        <v>0</v>
      </c>
      <c r="H164" s="11">
        <v>0.65269298090049266</v>
      </c>
      <c r="I164" s="11">
        <v>1.2528480982183561</v>
      </c>
      <c r="J164" s="11">
        <v>1.149895932972568</v>
      </c>
      <c r="K164" s="11">
        <v>30.80621122533811</v>
      </c>
      <c r="L164" s="11">
        <v>23.37216669639708</v>
      </c>
      <c r="M164" s="11">
        <v>91.318408228731826</v>
      </c>
    </row>
    <row r="165" spans="1:13" x14ac:dyDescent="0.25">
      <c r="A165" s="6">
        <v>30</v>
      </c>
      <c r="B165" s="6" t="s">
        <v>194</v>
      </c>
      <c r="C165" s="6" t="s">
        <v>300</v>
      </c>
      <c r="D165" s="6" t="s">
        <v>28</v>
      </c>
      <c r="E165" s="6" t="s">
        <v>29</v>
      </c>
      <c r="F165" s="6" t="s">
        <v>96</v>
      </c>
      <c r="G165" s="10">
        <v>0</v>
      </c>
      <c r="H165" s="10">
        <v>0.69927270070112768</v>
      </c>
      <c r="I165" s="10">
        <v>0.46628567792614323</v>
      </c>
      <c r="J165" s="10">
        <v>0.25148530388149032</v>
      </c>
      <c r="K165" s="10">
        <v>44.949249206480651</v>
      </c>
      <c r="L165" s="10">
        <v>32.631645338813911</v>
      </c>
      <c r="M165" s="10">
        <v>66.979394276202214</v>
      </c>
    </row>
    <row r="166" spans="1:13" x14ac:dyDescent="0.25">
      <c r="A166" s="8">
        <v>30</v>
      </c>
      <c r="B166" s="8" t="s">
        <v>194</v>
      </c>
      <c r="C166" s="8" t="s">
        <v>301</v>
      </c>
      <c r="D166" s="8" t="s">
        <v>28</v>
      </c>
      <c r="E166" s="8" t="s">
        <v>29</v>
      </c>
      <c r="F166" s="8" t="s">
        <v>96</v>
      </c>
      <c r="G166" s="11">
        <v>0</v>
      </c>
      <c r="H166" s="11">
        <v>0.57528410887100834</v>
      </c>
      <c r="I166" s="11">
        <v>0.55256306869115623</v>
      </c>
      <c r="J166" s="11">
        <v>0.6833899734934139</v>
      </c>
      <c r="K166" s="11">
        <v>27.609909695058061</v>
      </c>
      <c r="L166" s="11">
        <v>19.892928271907479</v>
      </c>
      <c r="M166" s="11">
        <v>96.5752612810128</v>
      </c>
    </row>
    <row r="167" spans="1:13" x14ac:dyDescent="0.25">
      <c r="A167" s="6">
        <v>31</v>
      </c>
      <c r="B167" s="6" t="s">
        <v>198</v>
      </c>
      <c r="C167" s="6" t="s">
        <v>300</v>
      </c>
      <c r="D167" s="6" t="s">
        <v>28</v>
      </c>
      <c r="E167" s="6" t="s">
        <v>29</v>
      </c>
      <c r="F167" s="6" t="s">
        <v>130</v>
      </c>
      <c r="G167" s="10">
        <v>0</v>
      </c>
      <c r="H167" s="10">
        <v>0.42983924609536989</v>
      </c>
      <c r="I167" s="10">
        <v>5.8482869291778893E-2</v>
      </c>
      <c r="J167" s="10">
        <v>0.35482326921949731</v>
      </c>
      <c r="K167" s="10">
        <v>37.109061687706358</v>
      </c>
      <c r="L167" s="10">
        <v>23.384143051110669</v>
      </c>
      <c r="M167" s="10">
        <v>62.656294523540041</v>
      </c>
    </row>
    <row r="168" spans="1:13" x14ac:dyDescent="0.25">
      <c r="A168" s="8">
        <v>31</v>
      </c>
      <c r="B168" s="8" t="s">
        <v>198</v>
      </c>
      <c r="C168" s="8" t="s">
        <v>301</v>
      </c>
      <c r="D168" s="8" t="s">
        <v>28</v>
      </c>
      <c r="E168" s="8" t="s">
        <v>29</v>
      </c>
      <c r="F168" s="8" t="s">
        <v>130</v>
      </c>
      <c r="G168" s="11">
        <v>0</v>
      </c>
      <c r="H168" s="11">
        <v>0.1090721560237224</v>
      </c>
      <c r="I168" s="11">
        <v>0.87783172684814326</v>
      </c>
      <c r="J168" s="11">
        <v>0</v>
      </c>
      <c r="K168" s="11">
        <v>28.213201619757211</v>
      </c>
      <c r="L168" s="11">
        <v>20.93633895165053</v>
      </c>
      <c r="M168" s="11">
        <v>73.843830613428992</v>
      </c>
    </row>
    <row r="169" spans="1:13" x14ac:dyDescent="0.25">
      <c r="A169" s="6">
        <v>34</v>
      </c>
      <c r="B169" s="6" t="s">
        <v>210</v>
      </c>
      <c r="C169" s="6" t="s">
        <v>300</v>
      </c>
      <c r="D169" s="6" t="s">
        <v>28</v>
      </c>
      <c r="E169" s="6" t="s">
        <v>29</v>
      </c>
      <c r="F169" s="6" t="s">
        <v>130</v>
      </c>
      <c r="G169" s="10">
        <v>0</v>
      </c>
      <c r="H169" s="10">
        <v>0.53888783763546344</v>
      </c>
      <c r="I169" s="10">
        <v>0.55895774646599539</v>
      </c>
      <c r="J169" s="10">
        <v>0.67988509001220443</v>
      </c>
      <c r="K169" s="10">
        <v>44.665977960802778</v>
      </c>
      <c r="L169" s="10">
        <v>29.461790710784889</v>
      </c>
      <c r="M169" s="10">
        <v>76.489180134545222</v>
      </c>
    </row>
    <row r="170" spans="1:13" x14ac:dyDescent="0.25">
      <c r="A170" s="8">
        <v>34</v>
      </c>
      <c r="B170" s="8" t="s">
        <v>210</v>
      </c>
      <c r="C170" s="8" t="s">
        <v>301</v>
      </c>
      <c r="D170" s="8" t="s">
        <v>28</v>
      </c>
      <c r="E170" s="8" t="s">
        <v>29</v>
      </c>
      <c r="F170" s="8" t="s">
        <v>130</v>
      </c>
      <c r="G170" s="11">
        <v>0</v>
      </c>
      <c r="H170" s="11">
        <v>0.32127343254929702</v>
      </c>
      <c r="I170" s="11">
        <v>0.5256426997626461</v>
      </c>
      <c r="J170" s="11">
        <v>1.2222826160609359</v>
      </c>
      <c r="K170" s="11">
        <v>30.18268163700424</v>
      </c>
      <c r="L170" s="11">
        <v>24.87772879183483</v>
      </c>
      <c r="M170" s="11">
        <v>96.902750674201656</v>
      </c>
    </row>
    <row r="171" spans="1:13" x14ac:dyDescent="0.25">
      <c r="A171" s="6">
        <v>35</v>
      </c>
      <c r="B171" s="6" t="s">
        <v>212</v>
      </c>
      <c r="C171" s="6" t="s">
        <v>300</v>
      </c>
      <c r="D171" s="6" t="s">
        <v>28</v>
      </c>
      <c r="E171" s="6" t="s">
        <v>29</v>
      </c>
      <c r="F171" s="6" t="s">
        <v>130</v>
      </c>
      <c r="G171" s="10">
        <v>0</v>
      </c>
      <c r="H171" s="10">
        <v>7.0507928329398672E-2</v>
      </c>
      <c r="I171" s="10">
        <v>0.1448841273528465</v>
      </c>
      <c r="J171" s="10">
        <v>0.25921076400223497</v>
      </c>
      <c r="K171" s="10">
        <v>43.798166138630357</v>
      </c>
      <c r="L171" s="10">
        <v>31.327707045503551</v>
      </c>
      <c r="M171" s="10">
        <v>50.141193298572247</v>
      </c>
    </row>
    <row r="172" spans="1:13" x14ac:dyDescent="0.25">
      <c r="A172" s="8">
        <v>35</v>
      </c>
      <c r="B172" s="8" t="s">
        <v>212</v>
      </c>
      <c r="C172" s="8" t="s">
        <v>301</v>
      </c>
      <c r="D172" s="8" t="s">
        <v>28</v>
      </c>
      <c r="E172" s="8" t="s">
        <v>29</v>
      </c>
      <c r="F172" s="8" t="s">
        <v>130</v>
      </c>
      <c r="G172" s="11">
        <v>0</v>
      </c>
      <c r="H172" s="11">
        <v>0.1090721560237224</v>
      </c>
      <c r="I172" s="11">
        <v>0.85914424303480363</v>
      </c>
      <c r="J172" s="11">
        <v>0</v>
      </c>
      <c r="K172" s="11">
        <v>28.213201619757211</v>
      </c>
      <c r="L172" s="11">
        <v>20.93633895165053</v>
      </c>
      <c r="M172" s="11">
        <v>73.864623033822284</v>
      </c>
    </row>
    <row r="173" spans="1:13" x14ac:dyDescent="0.25">
      <c r="A173" s="6">
        <v>51</v>
      </c>
      <c r="B173" s="6" t="s">
        <v>281</v>
      </c>
      <c r="C173" s="6" t="s">
        <v>300</v>
      </c>
      <c r="D173" s="6" t="s">
        <v>28</v>
      </c>
      <c r="E173" s="6" t="s">
        <v>29</v>
      </c>
      <c r="F173" s="6" t="s">
        <v>96</v>
      </c>
      <c r="G173" s="10">
        <v>0</v>
      </c>
      <c r="H173" s="10">
        <v>0.59332623218911007</v>
      </c>
      <c r="I173" s="10">
        <v>0.60827748536033199</v>
      </c>
      <c r="J173" s="10">
        <v>0.30723605634976031</v>
      </c>
      <c r="K173" s="10">
        <v>47.848227987467823</v>
      </c>
      <c r="L173" s="10">
        <v>34.798057659764133</v>
      </c>
      <c r="M173" s="10">
        <v>69.521351283950381</v>
      </c>
    </row>
    <row r="174" spans="1:13" x14ac:dyDescent="0.25">
      <c r="A174" s="8">
        <v>51</v>
      </c>
      <c r="B174" s="8" t="s">
        <v>281</v>
      </c>
      <c r="C174" s="8" t="s">
        <v>301</v>
      </c>
      <c r="D174" s="8" t="s">
        <v>28</v>
      </c>
      <c r="E174" s="8" t="s">
        <v>29</v>
      </c>
      <c r="F174" s="8" t="s">
        <v>96</v>
      </c>
      <c r="G174" s="11">
        <v>0</v>
      </c>
      <c r="H174" s="11">
        <v>0.65269298090049266</v>
      </c>
      <c r="I174" s="11">
        <v>1.4671353884529701</v>
      </c>
      <c r="J174" s="11">
        <v>1.325529204266642</v>
      </c>
      <c r="K174" s="11">
        <v>32.194796924640961</v>
      </c>
      <c r="L174" s="11">
        <v>24.26414905968165</v>
      </c>
      <c r="M174" s="11">
        <v>93.626436720487092</v>
      </c>
    </row>
    <row r="175" spans="1:13" x14ac:dyDescent="0.25">
      <c r="A175" s="6">
        <v>52</v>
      </c>
      <c r="B175" s="6" t="s">
        <v>283</v>
      </c>
      <c r="C175" s="6" t="s">
        <v>300</v>
      </c>
      <c r="D175" s="6" t="s">
        <v>28</v>
      </c>
      <c r="E175" s="6" t="s">
        <v>29</v>
      </c>
      <c r="F175" s="6" t="s">
        <v>130</v>
      </c>
      <c r="G175" s="10">
        <v>0</v>
      </c>
      <c r="H175" s="10">
        <v>0.1862366457606098</v>
      </c>
      <c r="I175" s="10">
        <v>0.29756116596851101</v>
      </c>
      <c r="J175" s="10">
        <v>1.4208131798353429</v>
      </c>
      <c r="K175" s="10">
        <v>52.756028546138587</v>
      </c>
      <c r="L175" s="10">
        <v>37.953041680685587</v>
      </c>
      <c r="M175" s="10">
        <v>58.946475557855408</v>
      </c>
    </row>
    <row r="176" spans="1:13" x14ac:dyDescent="0.25">
      <c r="A176" s="8">
        <v>52</v>
      </c>
      <c r="B176" s="8" t="s">
        <v>283</v>
      </c>
      <c r="C176" s="8" t="s">
        <v>301</v>
      </c>
      <c r="D176" s="8" t="s">
        <v>28</v>
      </c>
      <c r="E176" s="8" t="s">
        <v>29</v>
      </c>
      <c r="F176" s="8" t="s">
        <v>130</v>
      </c>
      <c r="G176" s="11">
        <v>0</v>
      </c>
      <c r="H176" s="11">
        <v>0.36612590067079281</v>
      </c>
      <c r="I176" s="11">
        <v>0.5256426997626461</v>
      </c>
      <c r="J176" s="11">
        <v>1.2052897532145439</v>
      </c>
      <c r="K176" s="11">
        <v>29.795163922103889</v>
      </c>
      <c r="L176" s="11">
        <v>24.547360757977579</v>
      </c>
      <c r="M176" s="11">
        <v>95.669722271772159</v>
      </c>
    </row>
  </sheetData>
  <autoFilter ref="A112:M176"/>
  <mergeCells count="3">
    <mergeCell ref="A109:M109"/>
    <mergeCell ref="A39:M39"/>
    <mergeCell ref="A1:R1"/>
  </mergeCell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8" width="22" customWidth="1"/>
    <col min="9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370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38</v>
      </c>
      <c r="B5" s="6" t="s">
        <v>223</v>
      </c>
      <c r="C5" s="6" t="s">
        <v>42</v>
      </c>
      <c r="D5" s="6" t="s">
        <v>28</v>
      </c>
      <c r="E5" s="6" t="s">
        <v>31</v>
      </c>
      <c r="F5" s="6" t="s">
        <v>31</v>
      </c>
      <c r="G5" s="6" t="s">
        <v>224</v>
      </c>
      <c r="H5" s="6" t="s">
        <v>224</v>
      </c>
      <c r="I5" s="10">
        <v>326.35477257458922</v>
      </c>
      <c r="J5" s="10">
        <v>325.94609719425989</v>
      </c>
      <c r="K5" s="10">
        <v>395</v>
      </c>
      <c r="L5" s="10">
        <v>374.96151666666663</v>
      </c>
      <c r="M5" s="6" t="s">
        <v>225</v>
      </c>
      <c r="N5" s="6" t="s">
        <v>226</v>
      </c>
      <c r="O5" s="6" t="s">
        <v>227</v>
      </c>
      <c r="P5" s="6" t="s">
        <v>228</v>
      </c>
      <c r="Q5" s="10">
        <v>61.316237218779037</v>
      </c>
      <c r="R5" s="10">
        <v>59.540017015084743</v>
      </c>
    </row>
    <row r="6" spans="1:18" x14ac:dyDescent="0.25">
      <c r="A6" s="8">
        <v>39</v>
      </c>
      <c r="B6" s="8" t="s">
        <v>229</v>
      </c>
      <c r="C6" s="8" t="s">
        <v>44</v>
      </c>
      <c r="D6" s="8" t="s">
        <v>28</v>
      </c>
      <c r="E6" s="8" t="s">
        <v>31</v>
      </c>
      <c r="F6" s="8" t="s">
        <v>31</v>
      </c>
      <c r="G6" s="8" t="s">
        <v>224</v>
      </c>
      <c r="H6" s="8" t="s">
        <v>230</v>
      </c>
      <c r="I6" s="11">
        <v>325.41591380093507</v>
      </c>
      <c r="J6" s="11">
        <v>325.05351767503993</v>
      </c>
      <c r="K6" s="11">
        <v>392.37093333333343</v>
      </c>
      <c r="L6" s="11">
        <v>411.88261666666671</v>
      </c>
      <c r="M6" s="8" t="s">
        <v>231</v>
      </c>
      <c r="N6" s="8" t="s">
        <v>226</v>
      </c>
      <c r="O6" s="8" t="s">
        <v>232</v>
      </c>
      <c r="P6" s="8" t="s">
        <v>233</v>
      </c>
      <c r="Q6" s="11">
        <v>61.64781186469645</v>
      </c>
      <c r="R6" s="11">
        <v>56.977909507314003</v>
      </c>
    </row>
    <row r="7" spans="1:18" x14ac:dyDescent="0.25">
      <c r="A7" s="6">
        <v>40</v>
      </c>
      <c r="B7" s="6" t="s">
        <v>234</v>
      </c>
      <c r="C7" s="6" t="s">
        <v>44</v>
      </c>
      <c r="D7" s="6" t="s">
        <v>28</v>
      </c>
      <c r="E7" s="6" t="s">
        <v>31</v>
      </c>
      <c r="F7" s="6" t="s">
        <v>31</v>
      </c>
      <c r="G7" s="6" t="s">
        <v>224</v>
      </c>
      <c r="H7" s="6" t="s">
        <v>235</v>
      </c>
      <c r="I7" s="10">
        <v>326.42355177683419</v>
      </c>
      <c r="J7" s="10">
        <v>325.95210910875733</v>
      </c>
      <c r="K7" s="10">
        <v>395</v>
      </c>
      <c r="L7" s="10">
        <v>319.50481666666673</v>
      </c>
      <c r="M7" s="6" t="s">
        <v>225</v>
      </c>
      <c r="N7" s="6" t="s">
        <v>226</v>
      </c>
      <c r="O7" s="6" t="s">
        <v>236</v>
      </c>
      <c r="P7" s="6" t="s">
        <v>237</v>
      </c>
      <c r="Q7" s="10">
        <v>61.329177126178159</v>
      </c>
      <c r="R7" s="10">
        <v>62.637050944032119</v>
      </c>
    </row>
    <row r="8" spans="1:18" x14ac:dyDescent="0.25">
      <c r="A8" s="8">
        <v>41</v>
      </c>
      <c r="B8" s="8" t="s">
        <v>238</v>
      </c>
      <c r="C8" s="8" t="s">
        <v>44</v>
      </c>
      <c r="D8" s="8" t="s">
        <v>28</v>
      </c>
      <c r="E8" s="8" t="s">
        <v>31</v>
      </c>
      <c r="F8" s="8" t="s">
        <v>31</v>
      </c>
      <c r="G8" s="8" t="s">
        <v>235</v>
      </c>
      <c r="H8" s="8" t="s">
        <v>224</v>
      </c>
      <c r="I8" s="11">
        <v>325.44929939593982</v>
      </c>
      <c r="J8" s="11">
        <v>325.19747839743411</v>
      </c>
      <c r="K8" s="11">
        <v>353.84784999999999</v>
      </c>
      <c r="L8" s="11">
        <v>372.55040000000002</v>
      </c>
      <c r="M8" s="8" t="s">
        <v>239</v>
      </c>
      <c r="N8" s="8" t="s">
        <v>240</v>
      </c>
      <c r="O8" s="8" t="s">
        <v>227</v>
      </c>
      <c r="P8" s="8" t="s">
        <v>241</v>
      </c>
      <c r="Q8" s="11">
        <v>67.12149214202077</v>
      </c>
      <c r="R8" s="11">
        <v>59.843107131271857</v>
      </c>
    </row>
    <row r="9" spans="1:18" x14ac:dyDescent="0.25">
      <c r="A9" s="6">
        <v>47</v>
      </c>
      <c r="B9" s="6" t="s">
        <v>266</v>
      </c>
      <c r="C9" s="6" t="s">
        <v>44</v>
      </c>
      <c r="D9" s="6" t="s">
        <v>28</v>
      </c>
      <c r="E9" s="6" t="s">
        <v>31</v>
      </c>
      <c r="F9" s="6" t="s">
        <v>31</v>
      </c>
      <c r="G9" s="6" t="s">
        <v>235</v>
      </c>
      <c r="H9" s="6" t="s">
        <v>230</v>
      </c>
      <c r="I9" s="10">
        <v>325.38165129441143</v>
      </c>
      <c r="J9" s="10">
        <v>325.17312937934167</v>
      </c>
      <c r="K9" s="10">
        <v>353.84784999999999</v>
      </c>
      <c r="L9" s="10">
        <v>412.48813333333328</v>
      </c>
      <c r="M9" s="6" t="s">
        <v>239</v>
      </c>
      <c r="N9" s="6" t="s">
        <v>240</v>
      </c>
      <c r="O9" s="6" t="s">
        <v>267</v>
      </c>
      <c r="P9" s="6" t="s">
        <v>268</v>
      </c>
      <c r="Q9" s="10">
        <v>67.10753118315435</v>
      </c>
      <c r="R9" s="10">
        <v>57.067129814922858</v>
      </c>
    </row>
    <row r="10" spans="1:18" x14ac:dyDescent="0.25">
      <c r="A10" s="8">
        <v>53</v>
      </c>
      <c r="B10" s="8" t="s">
        <v>287</v>
      </c>
      <c r="C10" s="8" t="s">
        <v>42</v>
      </c>
      <c r="D10" s="8" t="s">
        <v>28</v>
      </c>
      <c r="E10" s="8" t="s">
        <v>31</v>
      </c>
      <c r="F10" s="8" t="s">
        <v>31</v>
      </c>
      <c r="G10" s="8" t="s">
        <v>235</v>
      </c>
      <c r="H10" s="8" t="s">
        <v>235</v>
      </c>
      <c r="I10" s="11">
        <v>325.4090582064992</v>
      </c>
      <c r="J10" s="11">
        <v>325.0956316318464</v>
      </c>
      <c r="K10" s="11">
        <v>353.84784999999999</v>
      </c>
      <c r="L10" s="11">
        <v>317.94676666666669</v>
      </c>
      <c r="M10" s="8" t="s">
        <v>239</v>
      </c>
      <c r="N10" s="8" t="s">
        <v>240</v>
      </c>
      <c r="O10" s="8" t="s">
        <v>236</v>
      </c>
      <c r="P10" s="8" t="s">
        <v>288</v>
      </c>
      <c r="Q10" s="11">
        <v>67.113187317822849</v>
      </c>
      <c r="R10" s="11">
        <v>62.785790581976698</v>
      </c>
    </row>
    <row r="13" spans="1:18" ht="27.95" customHeight="1" x14ac:dyDescent="0.25">
      <c r="A13" s="55" t="s">
        <v>371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spans="1:18" ht="3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6" spans="1:18" ht="30" x14ac:dyDescent="0.25">
      <c r="A16" s="9" t="s">
        <v>59</v>
      </c>
      <c r="B16" s="9" t="s">
        <v>60</v>
      </c>
      <c r="C16" s="9" t="s">
        <v>292</v>
      </c>
      <c r="D16" s="9" t="s">
        <v>24</v>
      </c>
      <c r="E16" s="9" t="s">
        <v>61</v>
      </c>
      <c r="F16" s="9" t="s">
        <v>62</v>
      </c>
      <c r="G16" s="9" t="s">
        <v>293</v>
      </c>
      <c r="H16" s="9" t="s">
        <v>294</v>
      </c>
      <c r="I16" s="9" t="s">
        <v>295</v>
      </c>
      <c r="J16" s="9" t="s">
        <v>296</v>
      </c>
      <c r="K16" s="9" t="s">
        <v>297</v>
      </c>
      <c r="L16" s="9" t="s">
        <v>298</v>
      </c>
      <c r="M16" s="9" t="s">
        <v>299</v>
      </c>
    </row>
    <row r="17" spans="1:13" x14ac:dyDescent="0.25">
      <c r="A17" s="6">
        <v>38</v>
      </c>
      <c r="B17" s="6" t="s">
        <v>223</v>
      </c>
      <c r="C17" s="6" t="s">
        <v>300</v>
      </c>
      <c r="D17" s="6" t="s">
        <v>28</v>
      </c>
      <c r="E17" s="6" t="s">
        <v>31</v>
      </c>
      <c r="F17" s="6" t="s">
        <v>31</v>
      </c>
      <c r="G17" s="10">
        <v>50.366666666666667</v>
      </c>
      <c r="H17" s="10">
        <v>8.3666666666666671</v>
      </c>
      <c r="I17" s="10">
        <v>17.350000000000001</v>
      </c>
      <c r="J17" s="10">
        <v>4.75</v>
      </c>
      <c r="K17" s="10">
        <v>75.683333333333337</v>
      </c>
      <c r="L17" s="10">
        <v>57.18333333333333</v>
      </c>
      <c r="M17" s="10">
        <v>181.3</v>
      </c>
    </row>
    <row r="18" spans="1:13" x14ac:dyDescent="0.25">
      <c r="A18" s="8">
        <v>38</v>
      </c>
      <c r="B18" s="8" t="s">
        <v>223</v>
      </c>
      <c r="C18" s="8" t="s">
        <v>301</v>
      </c>
      <c r="D18" s="8" t="s">
        <v>28</v>
      </c>
      <c r="E18" s="8" t="s">
        <v>31</v>
      </c>
      <c r="F18" s="8" t="s">
        <v>31</v>
      </c>
      <c r="G18" s="11">
        <v>0</v>
      </c>
      <c r="H18" s="11">
        <v>42.65</v>
      </c>
      <c r="I18" s="11">
        <v>4.45</v>
      </c>
      <c r="J18" s="11">
        <v>12.016666666666669</v>
      </c>
      <c r="K18" s="11">
        <v>57.411516666666657</v>
      </c>
      <c r="L18" s="11">
        <v>49.6</v>
      </c>
      <c r="M18" s="11">
        <v>208.83333333333329</v>
      </c>
    </row>
    <row r="19" spans="1:13" x14ac:dyDescent="0.25">
      <c r="A19" s="6">
        <v>39</v>
      </c>
      <c r="B19" s="6" t="s">
        <v>229</v>
      </c>
      <c r="C19" s="6" t="s">
        <v>300</v>
      </c>
      <c r="D19" s="6" t="s">
        <v>28</v>
      </c>
      <c r="E19" s="6" t="s">
        <v>31</v>
      </c>
      <c r="F19" s="6" t="s">
        <v>31</v>
      </c>
      <c r="G19" s="10">
        <v>50.366666666666667</v>
      </c>
      <c r="H19" s="10">
        <v>8.3666666666666671</v>
      </c>
      <c r="I19" s="10">
        <v>17.350000000000001</v>
      </c>
      <c r="J19" s="10">
        <v>4.583333333333333</v>
      </c>
      <c r="K19" s="10">
        <v>74.783333333333331</v>
      </c>
      <c r="L19" s="10">
        <v>56.437600000000003</v>
      </c>
      <c r="M19" s="10">
        <v>180.48333333333329</v>
      </c>
    </row>
    <row r="20" spans="1:13" x14ac:dyDescent="0.25">
      <c r="A20" s="8">
        <v>39</v>
      </c>
      <c r="B20" s="8" t="s">
        <v>229</v>
      </c>
      <c r="C20" s="8" t="s">
        <v>301</v>
      </c>
      <c r="D20" s="8" t="s">
        <v>28</v>
      </c>
      <c r="E20" s="8" t="s">
        <v>31</v>
      </c>
      <c r="F20" s="8" t="s">
        <v>31</v>
      </c>
      <c r="G20" s="11">
        <v>0</v>
      </c>
      <c r="H20" s="11">
        <v>62.766666666666673</v>
      </c>
      <c r="I20" s="11">
        <v>7.8833333333333337</v>
      </c>
      <c r="J20" s="11">
        <v>2.9833333333333329</v>
      </c>
      <c r="K20" s="11">
        <v>67.358066666666659</v>
      </c>
      <c r="L20" s="11">
        <v>47.916666666666657</v>
      </c>
      <c r="M20" s="11">
        <v>222.97454999999999</v>
      </c>
    </row>
    <row r="21" spans="1:13" x14ac:dyDescent="0.25">
      <c r="A21" s="6">
        <v>40</v>
      </c>
      <c r="B21" s="6" t="s">
        <v>234</v>
      </c>
      <c r="C21" s="6" t="s">
        <v>300</v>
      </c>
      <c r="D21" s="6" t="s">
        <v>28</v>
      </c>
      <c r="E21" s="6" t="s">
        <v>31</v>
      </c>
      <c r="F21" s="6" t="s">
        <v>31</v>
      </c>
      <c r="G21" s="10">
        <v>50.366666666666667</v>
      </c>
      <c r="H21" s="10">
        <v>8.3666666666666671</v>
      </c>
      <c r="I21" s="10">
        <v>17.350000000000001</v>
      </c>
      <c r="J21" s="10">
        <v>4.75</v>
      </c>
      <c r="K21" s="10">
        <v>75.683333333333337</v>
      </c>
      <c r="L21" s="10">
        <v>57.18333333333333</v>
      </c>
      <c r="M21" s="10">
        <v>181.3</v>
      </c>
    </row>
    <row r="22" spans="1:13" x14ac:dyDescent="0.25">
      <c r="A22" s="8">
        <v>40</v>
      </c>
      <c r="B22" s="8" t="s">
        <v>234</v>
      </c>
      <c r="C22" s="8" t="s">
        <v>301</v>
      </c>
      <c r="D22" s="8" t="s">
        <v>28</v>
      </c>
      <c r="E22" s="8" t="s">
        <v>31</v>
      </c>
      <c r="F22" s="8" t="s">
        <v>31</v>
      </c>
      <c r="G22" s="11">
        <v>0</v>
      </c>
      <c r="H22" s="11">
        <v>3.0166666666666671</v>
      </c>
      <c r="I22" s="11">
        <v>4.3</v>
      </c>
      <c r="J22" s="11">
        <v>1.8833333333333331</v>
      </c>
      <c r="K22" s="11">
        <v>49.166666666666657</v>
      </c>
      <c r="L22" s="11">
        <v>35.333333333333343</v>
      </c>
      <c r="M22" s="11">
        <v>225.80481666666671</v>
      </c>
    </row>
    <row r="23" spans="1:13" x14ac:dyDescent="0.25">
      <c r="A23" s="6">
        <v>41</v>
      </c>
      <c r="B23" s="6" t="s">
        <v>238</v>
      </c>
      <c r="C23" s="6" t="s">
        <v>300</v>
      </c>
      <c r="D23" s="6" t="s">
        <v>28</v>
      </c>
      <c r="E23" s="6" t="s">
        <v>31</v>
      </c>
      <c r="F23" s="6" t="s">
        <v>31</v>
      </c>
      <c r="G23" s="10">
        <v>44.68333333333333</v>
      </c>
      <c r="H23" s="10">
        <v>6.6833333333333336</v>
      </c>
      <c r="I23" s="10">
        <v>11.75</v>
      </c>
      <c r="J23" s="10">
        <v>2.0166666666666671</v>
      </c>
      <c r="K23" s="10">
        <v>64.3</v>
      </c>
      <c r="L23" s="10">
        <v>51.866666666666667</v>
      </c>
      <c r="M23" s="10">
        <v>172.54785000000001</v>
      </c>
    </row>
    <row r="24" spans="1:13" x14ac:dyDescent="0.25">
      <c r="A24" s="8">
        <v>41</v>
      </c>
      <c r="B24" s="8" t="s">
        <v>238</v>
      </c>
      <c r="C24" s="8" t="s">
        <v>301</v>
      </c>
      <c r="D24" s="8" t="s">
        <v>28</v>
      </c>
      <c r="E24" s="8" t="s">
        <v>31</v>
      </c>
      <c r="F24" s="8" t="s">
        <v>31</v>
      </c>
      <c r="G24" s="11">
        <v>0</v>
      </c>
      <c r="H24" s="11">
        <v>42.65</v>
      </c>
      <c r="I24" s="11">
        <v>4.45</v>
      </c>
      <c r="J24" s="11">
        <v>12.016666666666669</v>
      </c>
      <c r="K24" s="11">
        <v>56.916666666666657</v>
      </c>
      <c r="L24" s="11">
        <v>49.017066666666658</v>
      </c>
      <c r="M24" s="11">
        <v>207.5</v>
      </c>
    </row>
    <row r="25" spans="1:13" x14ac:dyDescent="0.25">
      <c r="A25" s="6">
        <v>47</v>
      </c>
      <c r="B25" s="6" t="s">
        <v>266</v>
      </c>
      <c r="C25" s="6" t="s">
        <v>300</v>
      </c>
      <c r="D25" s="6" t="s">
        <v>28</v>
      </c>
      <c r="E25" s="6" t="s">
        <v>31</v>
      </c>
      <c r="F25" s="6" t="s">
        <v>31</v>
      </c>
      <c r="G25" s="10">
        <v>44.68333333333333</v>
      </c>
      <c r="H25" s="10">
        <v>6.6833333333333336</v>
      </c>
      <c r="I25" s="10">
        <v>11.75</v>
      </c>
      <c r="J25" s="10">
        <v>2.0166666666666671</v>
      </c>
      <c r="K25" s="10">
        <v>64.3</v>
      </c>
      <c r="L25" s="10">
        <v>51.866666666666667</v>
      </c>
      <c r="M25" s="10">
        <v>172.54785000000001</v>
      </c>
    </row>
    <row r="26" spans="1:13" x14ac:dyDescent="0.25">
      <c r="A26" s="8">
        <v>47</v>
      </c>
      <c r="B26" s="8" t="s">
        <v>266</v>
      </c>
      <c r="C26" s="8" t="s">
        <v>301</v>
      </c>
      <c r="D26" s="8" t="s">
        <v>28</v>
      </c>
      <c r="E26" s="8" t="s">
        <v>31</v>
      </c>
      <c r="F26" s="8" t="s">
        <v>31</v>
      </c>
      <c r="G26" s="11">
        <v>0</v>
      </c>
      <c r="H26" s="11">
        <v>62.766666666666673</v>
      </c>
      <c r="I26" s="11">
        <v>8.9</v>
      </c>
      <c r="J26" s="11">
        <v>3.3</v>
      </c>
      <c r="K26" s="11">
        <v>67.36666666666666</v>
      </c>
      <c r="L26" s="11">
        <v>48.233333333333327</v>
      </c>
      <c r="M26" s="11">
        <v>221.9214666666667</v>
      </c>
    </row>
    <row r="27" spans="1:13" x14ac:dyDescent="0.25">
      <c r="A27" s="6">
        <v>53</v>
      </c>
      <c r="B27" s="6" t="s">
        <v>287</v>
      </c>
      <c r="C27" s="6" t="s">
        <v>300</v>
      </c>
      <c r="D27" s="6" t="s">
        <v>28</v>
      </c>
      <c r="E27" s="6" t="s">
        <v>31</v>
      </c>
      <c r="F27" s="6" t="s">
        <v>31</v>
      </c>
      <c r="G27" s="10">
        <v>44.68333333333333</v>
      </c>
      <c r="H27" s="10">
        <v>6.6833333333333336</v>
      </c>
      <c r="I27" s="10">
        <v>11.75</v>
      </c>
      <c r="J27" s="10">
        <v>2.0166666666666671</v>
      </c>
      <c r="K27" s="10">
        <v>64.3</v>
      </c>
      <c r="L27" s="10">
        <v>51.866666666666667</v>
      </c>
      <c r="M27" s="10">
        <v>172.54785000000001</v>
      </c>
    </row>
    <row r="28" spans="1:13" x14ac:dyDescent="0.25">
      <c r="A28" s="8">
        <v>53</v>
      </c>
      <c r="B28" s="8" t="s">
        <v>287</v>
      </c>
      <c r="C28" s="8" t="s">
        <v>301</v>
      </c>
      <c r="D28" s="8" t="s">
        <v>28</v>
      </c>
      <c r="E28" s="8" t="s">
        <v>31</v>
      </c>
      <c r="F28" s="8" t="s">
        <v>31</v>
      </c>
      <c r="G28" s="11">
        <v>0</v>
      </c>
      <c r="H28" s="11">
        <v>3.0166666666666671</v>
      </c>
      <c r="I28" s="11">
        <v>4.3</v>
      </c>
      <c r="J28" s="11">
        <v>1.8833333333333331</v>
      </c>
      <c r="K28" s="11">
        <v>48.913433333333337</v>
      </c>
      <c r="L28" s="11">
        <v>35.333333333333343</v>
      </c>
      <c r="M28" s="11">
        <v>224.5</v>
      </c>
    </row>
    <row r="31" spans="1:13" ht="27.95" customHeight="1" x14ac:dyDescent="0.25">
      <c r="A31" s="55" t="s">
        <v>372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ht="3.9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4" spans="1:13" ht="30" x14ac:dyDescent="0.25">
      <c r="A34" s="9" t="s">
        <v>59</v>
      </c>
      <c r="B34" s="9" t="s">
        <v>60</v>
      </c>
      <c r="C34" s="9" t="s">
        <v>292</v>
      </c>
      <c r="D34" s="9" t="s">
        <v>24</v>
      </c>
      <c r="E34" s="9" t="s">
        <v>61</v>
      </c>
      <c r="F34" s="9" t="s">
        <v>62</v>
      </c>
      <c r="G34" s="9" t="s">
        <v>293</v>
      </c>
      <c r="H34" s="9" t="s">
        <v>294</v>
      </c>
      <c r="I34" s="9" t="s">
        <v>295</v>
      </c>
      <c r="J34" s="9" t="s">
        <v>296</v>
      </c>
      <c r="K34" s="9" t="s">
        <v>297</v>
      </c>
      <c r="L34" s="9" t="s">
        <v>298</v>
      </c>
      <c r="M34" s="9" t="s">
        <v>299</v>
      </c>
    </row>
    <row r="35" spans="1:13" x14ac:dyDescent="0.25">
      <c r="A35" s="6">
        <v>38</v>
      </c>
      <c r="B35" s="6" t="s">
        <v>223</v>
      </c>
      <c r="C35" s="6" t="s">
        <v>300</v>
      </c>
      <c r="D35" s="6" t="s">
        <v>28</v>
      </c>
      <c r="E35" s="6" t="s">
        <v>31</v>
      </c>
      <c r="F35" s="6" t="s">
        <v>31</v>
      </c>
      <c r="G35" s="10">
        <v>0.1423627546916193</v>
      </c>
      <c r="H35" s="10">
        <v>0.19087658536061269</v>
      </c>
      <c r="I35" s="10">
        <v>0.1087001286100384</v>
      </c>
      <c r="J35" s="10">
        <v>0.39868431866922599</v>
      </c>
      <c r="K35" s="10">
        <v>67.358249040373622</v>
      </c>
      <c r="L35" s="10">
        <v>52.262791432987221</v>
      </c>
      <c r="M35" s="10">
        <v>205.89310831389679</v>
      </c>
    </row>
    <row r="36" spans="1:13" x14ac:dyDescent="0.25">
      <c r="A36" s="8">
        <v>38</v>
      </c>
      <c r="B36" s="8" t="s">
        <v>223</v>
      </c>
      <c r="C36" s="8" t="s">
        <v>301</v>
      </c>
      <c r="D36" s="8" t="s">
        <v>28</v>
      </c>
      <c r="E36" s="8" t="s">
        <v>31</v>
      </c>
      <c r="F36" s="8" t="s">
        <v>31</v>
      </c>
      <c r="G36" s="11">
        <v>0</v>
      </c>
      <c r="H36" s="11">
        <v>0.54761889554039</v>
      </c>
      <c r="I36" s="11">
        <v>5.0473616639224998E-2</v>
      </c>
      <c r="J36" s="11">
        <v>0.94513627935308775</v>
      </c>
      <c r="K36" s="11">
        <v>50.571016219655441</v>
      </c>
      <c r="L36" s="11">
        <v>45.612596971397018</v>
      </c>
      <c r="M36" s="11">
        <v>228.21925521167481</v>
      </c>
    </row>
    <row r="37" spans="1:13" x14ac:dyDescent="0.25">
      <c r="A37" s="6">
        <v>39</v>
      </c>
      <c r="B37" s="6" t="s">
        <v>229</v>
      </c>
      <c r="C37" s="6" t="s">
        <v>300</v>
      </c>
      <c r="D37" s="6" t="s">
        <v>28</v>
      </c>
      <c r="E37" s="6" t="s">
        <v>31</v>
      </c>
      <c r="F37" s="6" t="s">
        <v>31</v>
      </c>
      <c r="G37" s="10">
        <v>0.1423627546916193</v>
      </c>
      <c r="H37" s="10">
        <v>0.19087658536061269</v>
      </c>
      <c r="I37" s="10">
        <v>0.1087001286100384</v>
      </c>
      <c r="J37" s="10">
        <v>0.37808500805927941</v>
      </c>
      <c r="K37" s="10">
        <v>67.007992810224437</v>
      </c>
      <c r="L37" s="10">
        <v>52.066282694191528</v>
      </c>
      <c r="M37" s="10">
        <v>205.52161381979761</v>
      </c>
    </row>
    <row r="38" spans="1:13" x14ac:dyDescent="0.25">
      <c r="A38" s="8">
        <v>39</v>
      </c>
      <c r="B38" s="8" t="s">
        <v>229</v>
      </c>
      <c r="C38" s="8" t="s">
        <v>301</v>
      </c>
      <c r="D38" s="8" t="s">
        <v>28</v>
      </c>
      <c r="E38" s="8" t="s">
        <v>31</v>
      </c>
      <c r="F38" s="8" t="s">
        <v>31</v>
      </c>
      <c r="G38" s="11">
        <v>0</v>
      </c>
      <c r="H38" s="11">
        <v>0.90317783554809627</v>
      </c>
      <c r="I38" s="11">
        <v>0.1049872832033934</v>
      </c>
      <c r="J38" s="11">
        <v>0.63732161434013213</v>
      </c>
      <c r="K38" s="11">
        <v>52.912666076357993</v>
      </c>
      <c r="L38" s="11">
        <v>38.055957494648879</v>
      </c>
      <c r="M38" s="11">
        <v>232.43940737094141</v>
      </c>
    </row>
    <row r="39" spans="1:13" x14ac:dyDescent="0.25">
      <c r="A39" s="6">
        <v>40</v>
      </c>
      <c r="B39" s="6" t="s">
        <v>234</v>
      </c>
      <c r="C39" s="6" t="s">
        <v>300</v>
      </c>
      <c r="D39" s="6" t="s">
        <v>28</v>
      </c>
      <c r="E39" s="6" t="s">
        <v>31</v>
      </c>
      <c r="F39" s="6" t="s">
        <v>31</v>
      </c>
      <c r="G39" s="10">
        <v>0.1423627546916193</v>
      </c>
      <c r="H39" s="10">
        <v>0.19087658536061269</v>
      </c>
      <c r="I39" s="10">
        <v>0.1087001286100384</v>
      </c>
      <c r="J39" s="10">
        <v>0.39868431866922599</v>
      </c>
      <c r="K39" s="10">
        <v>67.358249040373622</v>
      </c>
      <c r="L39" s="10">
        <v>52.27381680184341</v>
      </c>
      <c r="M39" s="10">
        <v>205.9508621472857</v>
      </c>
    </row>
    <row r="40" spans="1:13" x14ac:dyDescent="0.25">
      <c r="A40" s="8">
        <v>40</v>
      </c>
      <c r="B40" s="8" t="s">
        <v>234</v>
      </c>
      <c r="C40" s="8" t="s">
        <v>301</v>
      </c>
      <c r="D40" s="8" t="s">
        <v>28</v>
      </c>
      <c r="E40" s="8" t="s">
        <v>31</v>
      </c>
      <c r="F40" s="8" t="s">
        <v>31</v>
      </c>
      <c r="G40" s="11">
        <v>0</v>
      </c>
      <c r="H40" s="11">
        <v>2.1664931883547331E-3</v>
      </c>
      <c r="I40" s="11">
        <v>4.085835435001741E-2</v>
      </c>
      <c r="J40" s="11">
        <v>0.36129624957342932</v>
      </c>
      <c r="K40" s="11">
        <v>42.505617415062652</v>
      </c>
      <c r="L40" s="11">
        <v>30.728695534576911</v>
      </c>
      <c r="M40" s="11">
        <v>252.31347506200601</v>
      </c>
    </row>
    <row r="41" spans="1:13" x14ac:dyDescent="0.25">
      <c r="A41" s="6">
        <v>41</v>
      </c>
      <c r="B41" s="6" t="s">
        <v>238</v>
      </c>
      <c r="C41" s="6" t="s">
        <v>300</v>
      </c>
      <c r="D41" s="6" t="s">
        <v>28</v>
      </c>
      <c r="E41" s="6" t="s">
        <v>31</v>
      </c>
      <c r="F41" s="6" t="s">
        <v>31</v>
      </c>
      <c r="G41" s="10">
        <v>5.2222732101069563E-2</v>
      </c>
      <c r="H41" s="10">
        <v>0.12701409600270411</v>
      </c>
      <c r="I41" s="10">
        <v>3.1548608690509579E-2</v>
      </c>
      <c r="J41" s="10">
        <v>0.16750319091501231</v>
      </c>
      <c r="K41" s="10">
        <v>59.993505539180077</v>
      </c>
      <c r="L41" s="10">
        <v>53.823119668093447</v>
      </c>
      <c r="M41" s="10">
        <v>211.25438556095691</v>
      </c>
    </row>
    <row r="42" spans="1:13" x14ac:dyDescent="0.25">
      <c r="A42" s="8">
        <v>41</v>
      </c>
      <c r="B42" s="8" t="s">
        <v>238</v>
      </c>
      <c r="C42" s="8" t="s">
        <v>301</v>
      </c>
      <c r="D42" s="8" t="s">
        <v>28</v>
      </c>
      <c r="E42" s="8" t="s">
        <v>31</v>
      </c>
      <c r="F42" s="8" t="s">
        <v>31</v>
      </c>
      <c r="G42" s="11">
        <v>0</v>
      </c>
      <c r="H42" s="11">
        <v>0.54761889554039</v>
      </c>
      <c r="I42" s="11">
        <v>5.0473616639224998E-2</v>
      </c>
      <c r="J42" s="11">
        <v>0.94513627935308775</v>
      </c>
      <c r="K42" s="11">
        <v>50.235548888441691</v>
      </c>
      <c r="L42" s="11">
        <v>45.362202854839133</v>
      </c>
      <c r="M42" s="11">
        <v>228.0564978626206</v>
      </c>
    </row>
    <row r="43" spans="1:13" x14ac:dyDescent="0.25">
      <c r="A43" s="6">
        <v>47</v>
      </c>
      <c r="B43" s="6" t="s">
        <v>266</v>
      </c>
      <c r="C43" s="6" t="s">
        <v>300</v>
      </c>
      <c r="D43" s="6" t="s">
        <v>28</v>
      </c>
      <c r="E43" s="6" t="s">
        <v>31</v>
      </c>
      <c r="F43" s="6" t="s">
        <v>31</v>
      </c>
      <c r="G43" s="10">
        <v>5.2222732101069563E-2</v>
      </c>
      <c r="H43" s="10">
        <v>0.12701409600270411</v>
      </c>
      <c r="I43" s="10">
        <v>3.1548608690509579E-2</v>
      </c>
      <c r="J43" s="10">
        <v>0.16750319091501231</v>
      </c>
      <c r="K43" s="10">
        <v>59.945805897200891</v>
      </c>
      <c r="L43" s="10">
        <v>53.823119668093447</v>
      </c>
      <c r="M43" s="10">
        <v>211.23443710140779</v>
      </c>
    </row>
    <row r="44" spans="1:13" x14ac:dyDescent="0.25">
      <c r="A44" s="8">
        <v>47</v>
      </c>
      <c r="B44" s="8" t="s">
        <v>266</v>
      </c>
      <c r="C44" s="8" t="s">
        <v>301</v>
      </c>
      <c r="D44" s="8" t="s">
        <v>28</v>
      </c>
      <c r="E44" s="8" t="s">
        <v>31</v>
      </c>
      <c r="F44" s="8" t="s">
        <v>31</v>
      </c>
      <c r="G44" s="11">
        <v>0</v>
      </c>
      <c r="H44" s="11">
        <v>0.90317783554809627</v>
      </c>
      <c r="I44" s="11">
        <v>0.108236844142404</v>
      </c>
      <c r="J44" s="11">
        <v>0.64815348413888652</v>
      </c>
      <c r="K44" s="11">
        <v>52.960680605724093</v>
      </c>
      <c r="L44" s="11">
        <v>38.363873389086699</v>
      </c>
      <c r="M44" s="11">
        <v>232.18900722070151</v>
      </c>
    </row>
    <row r="45" spans="1:13" x14ac:dyDescent="0.25">
      <c r="A45" s="6">
        <v>53</v>
      </c>
      <c r="B45" s="6" t="s">
        <v>287</v>
      </c>
      <c r="C45" s="6" t="s">
        <v>300</v>
      </c>
      <c r="D45" s="6" t="s">
        <v>28</v>
      </c>
      <c r="E45" s="6" t="s">
        <v>31</v>
      </c>
      <c r="F45" s="6" t="s">
        <v>31</v>
      </c>
      <c r="G45" s="10">
        <v>5.2222732101069563E-2</v>
      </c>
      <c r="H45" s="10">
        <v>0.12701409600270411</v>
      </c>
      <c r="I45" s="10">
        <v>3.1548608690509579E-2</v>
      </c>
      <c r="J45" s="10">
        <v>0.16750319091501231</v>
      </c>
      <c r="K45" s="10">
        <v>59.942098202755432</v>
      </c>
      <c r="L45" s="10">
        <v>53.823119668093447</v>
      </c>
      <c r="M45" s="10">
        <v>211.265551707941</v>
      </c>
    </row>
    <row r="46" spans="1:13" x14ac:dyDescent="0.25">
      <c r="A46" s="8">
        <v>53</v>
      </c>
      <c r="B46" s="8" t="s">
        <v>287</v>
      </c>
      <c r="C46" s="8" t="s">
        <v>301</v>
      </c>
      <c r="D46" s="8" t="s">
        <v>28</v>
      </c>
      <c r="E46" s="8" t="s">
        <v>31</v>
      </c>
      <c r="F46" s="8" t="s">
        <v>31</v>
      </c>
      <c r="G46" s="11">
        <v>0</v>
      </c>
      <c r="H46" s="11">
        <v>2.1664931883547331E-3</v>
      </c>
      <c r="I46" s="11">
        <v>4.085835435001741E-2</v>
      </c>
      <c r="J46" s="11">
        <v>0.36129624957342932</v>
      </c>
      <c r="K46" s="11">
        <v>42.408761093682124</v>
      </c>
      <c r="L46" s="11">
        <v>30.728695534576911</v>
      </c>
      <c r="M46" s="11">
        <v>251.55385390647561</v>
      </c>
    </row>
  </sheetData>
  <autoFilter ref="A34:M46"/>
  <mergeCells count="3">
    <mergeCell ref="A13:M13"/>
    <mergeCell ref="A31:M31"/>
    <mergeCell ref="A1:R1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6" width="26" customWidth="1"/>
    <col min="7" max="7" width="22" customWidth="1"/>
    <col min="8" max="9" width="21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373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42</v>
      </c>
      <c r="B5" s="6" t="s">
        <v>242</v>
      </c>
      <c r="C5" s="6" t="s">
        <v>42</v>
      </c>
      <c r="D5" s="6" t="s">
        <v>28</v>
      </c>
      <c r="E5" s="6" t="s">
        <v>33</v>
      </c>
      <c r="F5" s="6" t="s">
        <v>33</v>
      </c>
      <c r="G5" s="6" t="s">
        <v>243</v>
      </c>
      <c r="H5" s="6" t="s">
        <v>243</v>
      </c>
      <c r="I5" s="10">
        <v>321.86119576256169</v>
      </c>
      <c r="J5" s="10">
        <v>322.43341940471572</v>
      </c>
      <c r="K5" s="10">
        <v>405.77063333333331</v>
      </c>
      <c r="L5" s="10">
        <v>325.4048166666667</v>
      </c>
      <c r="M5" s="6" t="s">
        <v>244</v>
      </c>
      <c r="N5" s="6" t="s">
        <v>245</v>
      </c>
      <c r="O5" s="6" t="s">
        <v>246</v>
      </c>
      <c r="P5" s="6" t="s">
        <v>247</v>
      </c>
      <c r="Q5" s="10">
        <v>64.645314886366052</v>
      </c>
      <c r="R5" s="10">
        <v>63.964896238433653</v>
      </c>
    </row>
    <row r="6" spans="1:18" x14ac:dyDescent="0.25">
      <c r="A6" s="8">
        <v>43</v>
      </c>
      <c r="B6" s="8" t="s">
        <v>248</v>
      </c>
      <c r="C6" s="8" t="s">
        <v>44</v>
      </c>
      <c r="D6" s="8" t="s">
        <v>28</v>
      </c>
      <c r="E6" s="8" t="s">
        <v>33</v>
      </c>
      <c r="F6" s="8" t="s">
        <v>33</v>
      </c>
      <c r="G6" s="8" t="s">
        <v>243</v>
      </c>
      <c r="H6" s="8" t="s">
        <v>249</v>
      </c>
      <c r="I6" s="11">
        <v>322.17747430370082</v>
      </c>
      <c r="J6" s="11">
        <v>321.6269481176106</v>
      </c>
      <c r="K6" s="11">
        <v>446.45</v>
      </c>
      <c r="L6" s="11">
        <v>341.44238333333328</v>
      </c>
      <c r="M6" s="8" t="s">
        <v>250</v>
      </c>
      <c r="N6" s="8" t="s">
        <v>251</v>
      </c>
      <c r="O6" s="8" t="s">
        <v>252</v>
      </c>
      <c r="P6" s="8" t="s">
        <v>253</v>
      </c>
      <c r="Q6" s="11">
        <v>64.4401967523076</v>
      </c>
      <c r="R6" s="11">
        <v>64.281452951025713</v>
      </c>
    </row>
    <row r="7" spans="1:18" x14ac:dyDescent="0.25">
      <c r="A7" s="6">
        <v>44</v>
      </c>
      <c r="B7" s="6" t="s">
        <v>254</v>
      </c>
      <c r="C7" s="6" t="s">
        <v>44</v>
      </c>
      <c r="D7" s="6" t="s">
        <v>28</v>
      </c>
      <c r="E7" s="6" t="s">
        <v>33</v>
      </c>
      <c r="F7" s="6" t="s">
        <v>33</v>
      </c>
      <c r="G7" s="6" t="s">
        <v>249</v>
      </c>
      <c r="H7" s="6" t="s">
        <v>243</v>
      </c>
      <c r="I7" s="10">
        <v>324.42978832438968</v>
      </c>
      <c r="J7" s="10">
        <v>325.03506672854411</v>
      </c>
      <c r="K7" s="10">
        <v>408.62676666666658</v>
      </c>
      <c r="L7" s="10">
        <v>325.26549999999997</v>
      </c>
      <c r="M7" s="6" t="s">
        <v>255</v>
      </c>
      <c r="N7" s="6" t="s">
        <v>256</v>
      </c>
      <c r="O7" s="6" t="s">
        <v>257</v>
      </c>
      <c r="P7" s="6" t="s">
        <v>258</v>
      </c>
      <c r="Q7" s="10">
        <v>62.280657722390274</v>
      </c>
      <c r="R7" s="10">
        <v>63.759140657029413</v>
      </c>
    </row>
    <row r="8" spans="1:18" x14ac:dyDescent="0.25">
      <c r="A8" s="8">
        <v>45</v>
      </c>
      <c r="B8" s="8" t="s">
        <v>259</v>
      </c>
      <c r="C8" s="8" t="s">
        <v>44</v>
      </c>
      <c r="D8" s="8" t="s">
        <v>28</v>
      </c>
      <c r="E8" s="8" t="s">
        <v>33</v>
      </c>
      <c r="F8" s="8" t="s">
        <v>33</v>
      </c>
      <c r="G8" s="8" t="s">
        <v>243</v>
      </c>
      <c r="H8" s="8" t="s">
        <v>260</v>
      </c>
      <c r="I8" s="11">
        <v>322.27359408346013</v>
      </c>
      <c r="J8" s="11">
        <v>322.64698261892221</v>
      </c>
      <c r="K8" s="11">
        <v>446.45</v>
      </c>
      <c r="L8" s="11">
        <v>349.42598333333342</v>
      </c>
      <c r="M8" s="8" t="s">
        <v>250</v>
      </c>
      <c r="N8" s="8" t="s">
        <v>251</v>
      </c>
      <c r="O8" s="8" t="s">
        <v>261</v>
      </c>
      <c r="P8" s="8" t="s">
        <v>262</v>
      </c>
      <c r="Q8" s="11">
        <v>64.459443162404568</v>
      </c>
      <c r="R8" s="11">
        <v>59.875837357006112</v>
      </c>
    </row>
    <row r="9" spans="1:18" x14ac:dyDescent="0.25">
      <c r="A9" s="6">
        <v>46</v>
      </c>
      <c r="B9" s="6" t="s">
        <v>263</v>
      </c>
      <c r="C9" s="6" t="s">
        <v>44</v>
      </c>
      <c r="D9" s="6" t="s">
        <v>28</v>
      </c>
      <c r="E9" s="6" t="s">
        <v>33</v>
      </c>
      <c r="F9" s="6" t="s">
        <v>33</v>
      </c>
      <c r="G9" s="6" t="s">
        <v>260</v>
      </c>
      <c r="H9" s="6" t="s">
        <v>243</v>
      </c>
      <c r="I9" s="10">
        <v>324.93502838087829</v>
      </c>
      <c r="J9" s="10">
        <v>325.72634804024972</v>
      </c>
      <c r="K9" s="10">
        <v>394.6350333333333</v>
      </c>
      <c r="L9" s="10">
        <v>329.75</v>
      </c>
      <c r="M9" s="6" t="s">
        <v>264</v>
      </c>
      <c r="N9" s="6" t="s">
        <v>265</v>
      </c>
      <c r="O9" s="6" t="s">
        <v>246</v>
      </c>
      <c r="P9" s="6" t="s">
        <v>258</v>
      </c>
      <c r="Q9" s="10">
        <v>64.174151856789692</v>
      </c>
      <c r="R9" s="10">
        <v>63.702556250659107</v>
      </c>
    </row>
    <row r="10" spans="1:18" x14ac:dyDescent="0.25">
      <c r="A10" s="8">
        <v>48</v>
      </c>
      <c r="B10" s="8" t="s">
        <v>269</v>
      </c>
      <c r="C10" s="8" t="s">
        <v>42</v>
      </c>
      <c r="D10" s="8" t="s">
        <v>28</v>
      </c>
      <c r="E10" s="8" t="s">
        <v>33</v>
      </c>
      <c r="F10" s="8" t="s">
        <v>33</v>
      </c>
      <c r="G10" s="8" t="s">
        <v>249</v>
      </c>
      <c r="H10" s="8" t="s">
        <v>249</v>
      </c>
      <c r="I10" s="11">
        <v>325.39890709550622</v>
      </c>
      <c r="J10" s="11">
        <v>324.88432242009242</v>
      </c>
      <c r="K10" s="11">
        <v>410.73333333333329</v>
      </c>
      <c r="L10" s="11">
        <v>348.14720000000011</v>
      </c>
      <c r="M10" s="8" t="s">
        <v>255</v>
      </c>
      <c r="N10" s="8" t="s">
        <v>270</v>
      </c>
      <c r="O10" s="8" t="s">
        <v>271</v>
      </c>
      <c r="P10" s="8" t="s">
        <v>272</v>
      </c>
      <c r="Q10" s="11">
        <v>62.048170909885918</v>
      </c>
      <c r="R10" s="11">
        <v>63.51275377345894</v>
      </c>
    </row>
    <row r="11" spans="1:18" x14ac:dyDescent="0.25">
      <c r="A11" s="6">
        <v>49</v>
      </c>
      <c r="B11" s="6" t="s">
        <v>273</v>
      </c>
      <c r="C11" s="6" t="s">
        <v>44</v>
      </c>
      <c r="D11" s="6" t="s">
        <v>28</v>
      </c>
      <c r="E11" s="6" t="s">
        <v>33</v>
      </c>
      <c r="F11" s="6" t="s">
        <v>33</v>
      </c>
      <c r="G11" s="6" t="s">
        <v>249</v>
      </c>
      <c r="H11" s="6" t="s">
        <v>260</v>
      </c>
      <c r="I11" s="10">
        <v>323.75364208554902</v>
      </c>
      <c r="J11" s="10">
        <v>324.12513972731608</v>
      </c>
      <c r="K11" s="10">
        <v>407.74795</v>
      </c>
      <c r="L11" s="10">
        <v>346.04665</v>
      </c>
      <c r="M11" s="6" t="s">
        <v>255</v>
      </c>
      <c r="N11" s="6" t="s">
        <v>274</v>
      </c>
      <c r="O11" s="6" t="s">
        <v>275</v>
      </c>
      <c r="P11" s="6" t="s">
        <v>276</v>
      </c>
      <c r="Q11" s="10">
        <v>62.32616891116043</v>
      </c>
      <c r="R11" s="10">
        <v>60.09883681712126</v>
      </c>
    </row>
    <row r="12" spans="1:18" x14ac:dyDescent="0.25">
      <c r="A12" s="8">
        <v>50</v>
      </c>
      <c r="B12" s="8" t="s">
        <v>277</v>
      </c>
      <c r="C12" s="8" t="s">
        <v>44</v>
      </c>
      <c r="D12" s="8" t="s">
        <v>28</v>
      </c>
      <c r="E12" s="8" t="s">
        <v>33</v>
      </c>
      <c r="F12" s="8" t="s">
        <v>33</v>
      </c>
      <c r="G12" s="8" t="s">
        <v>260</v>
      </c>
      <c r="H12" s="8" t="s">
        <v>249</v>
      </c>
      <c r="I12" s="11">
        <v>326.46596224309337</v>
      </c>
      <c r="J12" s="11">
        <v>326.13414239444489</v>
      </c>
      <c r="K12" s="11">
        <v>420.64665000000002</v>
      </c>
      <c r="L12" s="11">
        <v>351.75</v>
      </c>
      <c r="M12" s="8" t="s">
        <v>278</v>
      </c>
      <c r="N12" s="8" t="s">
        <v>279</v>
      </c>
      <c r="O12" s="8" t="s">
        <v>252</v>
      </c>
      <c r="P12" s="8" t="s">
        <v>280</v>
      </c>
      <c r="Q12" s="11">
        <v>63.924179776882589</v>
      </c>
      <c r="R12" s="11">
        <v>63.016566640353268</v>
      </c>
    </row>
    <row r="13" spans="1:18" x14ac:dyDescent="0.25">
      <c r="A13" s="6">
        <v>54</v>
      </c>
      <c r="B13" s="6" t="s">
        <v>289</v>
      </c>
      <c r="C13" s="6" t="s">
        <v>42</v>
      </c>
      <c r="D13" s="6" t="s">
        <v>28</v>
      </c>
      <c r="E13" s="6" t="s">
        <v>33</v>
      </c>
      <c r="F13" s="6" t="s">
        <v>33</v>
      </c>
      <c r="G13" s="6" t="s">
        <v>260</v>
      </c>
      <c r="H13" s="6" t="s">
        <v>260</v>
      </c>
      <c r="I13" s="10">
        <v>324.46950740183598</v>
      </c>
      <c r="J13" s="10">
        <v>325.03344841128018</v>
      </c>
      <c r="K13" s="10">
        <v>417.36546666666669</v>
      </c>
      <c r="L13" s="10">
        <v>352.73333333333329</v>
      </c>
      <c r="M13" s="6" t="s">
        <v>278</v>
      </c>
      <c r="N13" s="6" t="s">
        <v>290</v>
      </c>
      <c r="O13" s="6" t="s">
        <v>261</v>
      </c>
      <c r="P13" s="6" t="s">
        <v>276</v>
      </c>
      <c r="Q13" s="10">
        <v>64.21541291915878</v>
      </c>
      <c r="R13" s="10">
        <v>59.707655911824418</v>
      </c>
    </row>
    <row r="16" spans="1:18" ht="27.95" customHeight="1" x14ac:dyDescent="0.25">
      <c r="A16" s="55" t="s">
        <v>374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3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9" spans="1:13" ht="30" x14ac:dyDescent="0.25">
      <c r="A19" s="9" t="s">
        <v>59</v>
      </c>
      <c r="B19" s="9" t="s">
        <v>60</v>
      </c>
      <c r="C19" s="9" t="s">
        <v>292</v>
      </c>
      <c r="D19" s="9" t="s">
        <v>24</v>
      </c>
      <c r="E19" s="9" t="s">
        <v>61</v>
      </c>
      <c r="F19" s="9" t="s">
        <v>62</v>
      </c>
      <c r="G19" s="9" t="s">
        <v>293</v>
      </c>
      <c r="H19" s="9" t="s">
        <v>294</v>
      </c>
      <c r="I19" s="9" t="s">
        <v>295</v>
      </c>
      <c r="J19" s="9" t="s">
        <v>296</v>
      </c>
      <c r="K19" s="9" t="s">
        <v>297</v>
      </c>
      <c r="L19" s="9" t="s">
        <v>298</v>
      </c>
      <c r="M19" s="9" t="s">
        <v>299</v>
      </c>
    </row>
    <row r="20" spans="1:13" x14ac:dyDescent="0.25">
      <c r="A20" s="6">
        <v>42</v>
      </c>
      <c r="B20" s="6" t="s">
        <v>242</v>
      </c>
      <c r="C20" s="6" t="s">
        <v>300</v>
      </c>
      <c r="D20" s="6" t="s">
        <v>28</v>
      </c>
      <c r="E20" s="6" t="s">
        <v>33</v>
      </c>
      <c r="F20" s="6" t="s">
        <v>33</v>
      </c>
      <c r="G20" s="10">
        <v>63.2</v>
      </c>
      <c r="H20" s="10">
        <v>14.516666666666669</v>
      </c>
      <c r="I20" s="10">
        <v>29.516666666666669</v>
      </c>
      <c r="J20" s="10">
        <v>6.8833333333333337</v>
      </c>
      <c r="K20" s="10">
        <v>69.25</v>
      </c>
      <c r="L20" s="10">
        <v>57.887300000000003</v>
      </c>
      <c r="M20" s="10">
        <v>164.51666666666671</v>
      </c>
    </row>
    <row r="21" spans="1:13" x14ac:dyDescent="0.25">
      <c r="A21" s="8">
        <v>42</v>
      </c>
      <c r="B21" s="8" t="s">
        <v>242</v>
      </c>
      <c r="C21" s="8" t="s">
        <v>301</v>
      </c>
      <c r="D21" s="8" t="s">
        <v>28</v>
      </c>
      <c r="E21" s="8" t="s">
        <v>33</v>
      </c>
      <c r="F21" s="8" t="s">
        <v>33</v>
      </c>
      <c r="G21" s="11">
        <v>0</v>
      </c>
      <c r="H21" s="11">
        <v>20.583333333333329</v>
      </c>
      <c r="I21" s="11">
        <v>2.833333333333333</v>
      </c>
      <c r="J21" s="11">
        <v>4</v>
      </c>
      <c r="K21" s="11">
        <v>45.56666666666667</v>
      </c>
      <c r="L21" s="11">
        <v>33.783333333333331</v>
      </c>
      <c r="M21" s="11">
        <v>218.63815</v>
      </c>
    </row>
    <row r="22" spans="1:13" x14ac:dyDescent="0.25">
      <c r="A22" s="6">
        <v>43</v>
      </c>
      <c r="B22" s="6" t="s">
        <v>248</v>
      </c>
      <c r="C22" s="6" t="s">
        <v>300</v>
      </c>
      <c r="D22" s="6" t="s">
        <v>28</v>
      </c>
      <c r="E22" s="6" t="s">
        <v>33</v>
      </c>
      <c r="F22" s="6" t="s">
        <v>33</v>
      </c>
      <c r="G22" s="10">
        <v>63.2</v>
      </c>
      <c r="H22" s="10">
        <v>51.31666666666667</v>
      </c>
      <c r="I22" s="10">
        <v>32.283333333333331</v>
      </c>
      <c r="J22" s="10">
        <v>7.7166666666666668</v>
      </c>
      <c r="K22" s="10">
        <v>69.400000000000006</v>
      </c>
      <c r="L22" s="10">
        <v>57.93333333333333</v>
      </c>
      <c r="M22" s="10">
        <v>164.6</v>
      </c>
    </row>
    <row r="23" spans="1:13" x14ac:dyDescent="0.25">
      <c r="A23" s="8">
        <v>43</v>
      </c>
      <c r="B23" s="8" t="s">
        <v>248</v>
      </c>
      <c r="C23" s="8" t="s">
        <v>301</v>
      </c>
      <c r="D23" s="8" t="s">
        <v>28</v>
      </c>
      <c r="E23" s="8" t="s">
        <v>33</v>
      </c>
      <c r="F23" s="8" t="s">
        <v>33</v>
      </c>
      <c r="G23" s="11">
        <v>0</v>
      </c>
      <c r="H23" s="11">
        <v>35.4</v>
      </c>
      <c r="I23" s="11">
        <v>6.3166666666666664</v>
      </c>
      <c r="J23" s="11">
        <v>10.016666666666669</v>
      </c>
      <c r="K23" s="11">
        <v>63.383333333333333</v>
      </c>
      <c r="L23" s="11">
        <v>44.56666666666667</v>
      </c>
      <c r="M23" s="11">
        <v>181.75905</v>
      </c>
    </row>
    <row r="24" spans="1:13" x14ac:dyDescent="0.25">
      <c r="A24" s="6">
        <v>44</v>
      </c>
      <c r="B24" s="6" t="s">
        <v>254</v>
      </c>
      <c r="C24" s="6" t="s">
        <v>300</v>
      </c>
      <c r="D24" s="6" t="s">
        <v>28</v>
      </c>
      <c r="E24" s="6" t="s">
        <v>33</v>
      </c>
      <c r="F24" s="6" t="s">
        <v>33</v>
      </c>
      <c r="G24" s="10">
        <v>0</v>
      </c>
      <c r="H24" s="10">
        <v>65.983333333333334</v>
      </c>
      <c r="I24" s="10">
        <v>30.533333333333331</v>
      </c>
      <c r="J24" s="10">
        <v>6.3</v>
      </c>
      <c r="K24" s="10">
        <v>75.783333333333331</v>
      </c>
      <c r="L24" s="10">
        <v>59.6</v>
      </c>
      <c r="M24" s="10">
        <v>170.42676666666671</v>
      </c>
    </row>
    <row r="25" spans="1:13" x14ac:dyDescent="0.25">
      <c r="A25" s="8">
        <v>44</v>
      </c>
      <c r="B25" s="8" t="s">
        <v>254</v>
      </c>
      <c r="C25" s="8" t="s">
        <v>301</v>
      </c>
      <c r="D25" s="8" t="s">
        <v>28</v>
      </c>
      <c r="E25" s="8" t="s">
        <v>33</v>
      </c>
      <c r="F25" s="8" t="s">
        <v>33</v>
      </c>
      <c r="G25" s="11">
        <v>0</v>
      </c>
      <c r="H25" s="11">
        <v>16.899999999999999</v>
      </c>
      <c r="I25" s="11">
        <v>2.833333333333333</v>
      </c>
      <c r="J25" s="11">
        <v>4</v>
      </c>
      <c r="K25" s="11">
        <v>46.733333333333327</v>
      </c>
      <c r="L25" s="11">
        <v>34.783333333333331</v>
      </c>
      <c r="M25" s="11">
        <v>220.0155</v>
      </c>
    </row>
    <row r="26" spans="1:13" x14ac:dyDescent="0.25">
      <c r="A26" s="6">
        <v>45</v>
      </c>
      <c r="B26" s="6" t="s">
        <v>259</v>
      </c>
      <c r="C26" s="6" t="s">
        <v>300</v>
      </c>
      <c r="D26" s="6" t="s">
        <v>28</v>
      </c>
      <c r="E26" s="6" t="s">
        <v>33</v>
      </c>
      <c r="F26" s="6" t="s">
        <v>33</v>
      </c>
      <c r="G26" s="10">
        <v>63.2</v>
      </c>
      <c r="H26" s="10">
        <v>51.31666666666667</v>
      </c>
      <c r="I26" s="10">
        <v>32.283333333333331</v>
      </c>
      <c r="J26" s="10">
        <v>7.7166666666666668</v>
      </c>
      <c r="K26" s="10">
        <v>69.400000000000006</v>
      </c>
      <c r="L26" s="10">
        <v>57.93333333333333</v>
      </c>
      <c r="M26" s="10">
        <v>164.6</v>
      </c>
    </row>
    <row r="27" spans="1:13" x14ac:dyDescent="0.25">
      <c r="A27" s="8">
        <v>45</v>
      </c>
      <c r="B27" s="8" t="s">
        <v>259</v>
      </c>
      <c r="C27" s="8" t="s">
        <v>301</v>
      </c>
      <c r="D27" s="8" t="s">
        <v>28</v>
      </c>
      <c r="E27" s="8" t="s">
        <v>33</v>
      </c>
      <c r="F27" s="8" t="s">
        <v>33</v>
      </c>
      <c r="G27" s="11">
        <v>0</v>
      </c>
      <c r="H27" s="11">
        <v>24.31666666666667</v>
      </c>
      <c r="I27" s="11">
        <v>2.666666666666667</v>
      </c>
      <c r="J27" s="11">
        <v>5.6833333333333336</v>
      </c>
      <c r="K27" s="11">
        <v>44.133333333333333</v>
      </c>
      <c r="L27" s="11">
        <v>32.116666666666667</v>
      </c>
      <c r="M27" s="11">
        <v>240.50931666666659</v>
      </c>
    </row>
    <row r="28" spans="1:13" x14ac:dyDescent="0.25">
      <c r="A28" s="6">
        <v>46</v>
      </c>
      <c r="B28" s="6" t="s">
        <v>263</v>
      </c>
      <c r="C28" s="6" t="s">
        <v>300</v>
      </c>
      <c r="D28" s="6" t="s">
        <v>28</v>
      </c>
      <c r="E28" s="6" t="s">
        <v>33</v>
      </c>
      <c r="F28" s="6" t="s">
        <v>33</v>
      </c>
      <c r="G28" s="10">
        <v>34.833333333333343</v>
      </c>
      <c r="H28" s="10">
        <v>37.450000000000003</v>
      </c>
      <c r="I28" s="10">
        <v>18.850000000000001</v>
      </c>
      <c r="J28" s="10">
        <v>8</v>
      </c>
      <c r="K28" s="10">
        <v>64.659216666666666</v>
      </c>
      <c r="L28" s="10">
        <v>54.06666666666667</v>
      </c>
      <c r="M28" s="10">
        <v>176.77581666666671</v>
      </c>
    </row>
    <row r="29" spans="1:13" x14ac:dyDescent="0.25">
      <c r="A29" s="8">
        <v>46</v>
      </c>
      <c r="B29" s="8" t="s">
        <v>263</v>
      </c>
      <c r="C29" s="8" t="s">
        <v>301</v>
      </c>
      <c r="D29" s="8" t="s">
        <v>28</v>
      </c>
      <c r="E29" s="8" t="s">
        <v>33</v>
      </c>
      <c r="F29" s="8" t="s">
        <v>33</v>
      </c>
      <c r="G29" s="11">
        <v>0</v>
      </c>
      <c r="H29" s="11">
        <v>20.583333333333329</v>
      </c>
      <c r="I29" s="11">
        <v>2.833333333333333</v>
      </c>
      <c r="J29" s="11">
        <v>4</v>
      </c>
      <c r="K29" s="11">
        <v>46.733333333333327</v>
      </c>
      <c r="L29" s="11">
        <v>35.116666666666667</v>
      </c>
      <c r="M29" s="11">
        <v>220.48333333333329</v>
      </c>
    </row>
    <row r="30" spans="1:13" x14ac:dyDescent="0.25">
      <c r="A30" s="6">
        <v>48</v>
      </c>
      <c r="B30" s="6" t="s">
        <v>269</v>
      </c>
      <c r="C30" s="6" t="s">
        <v>300</v>
      </c>
      <c r="D30" s="6" t="s">
        <v>28</v>
      </c>
      <c r="E30" s="6" t="s">
        <v>33</v>
      </c>
      <c r="F30" s="6" t="s">
        <v>33</v>
      </c>
      <c r="G30" s="10">
        <v>0</v>
      </c>
      <c r="H30" s="10">
        <v>65.983333333333334</v>
      </c>
      <c r="I30" s="10">
        <v>30.533333333333331</v>
      </c>
      <c r="J30" s="10">
        <v>6.3833333333333337</v>
      </c>
      <c r="K30" s="10">
        <v>76.566666666666663</v>
      </c>
      <c r="L30" s="10">
        <v>59.983333333333327</v>
      </c>
      <c r="M30" s="10">
        <v>171.2833333333333</v>
      </c>
    </row>
    <row r="31" spans="1:13" x14ac:dyDescent="0.25">
      <c r="A31" s="8">
        <v>48</v>
      </c>
      <c r="B31" s="8" t="s">
        <v>269</v>
      </c>
      <c r="C31" s="8" t="s">
        <v>301</v>
      </c>
      <c r="D31" s="8" t="s">
        <v>28</v>
      </c>
      <c r="E31" s="8" t="s">
        <v>33</v>
      </c>
      <c r="F31" s="8" t="s">
        <v>33</v>
      </c>
      <c r="G31" s="11">
        <v>0</v>
      </c>
      <c r="H31" s="11">
        <v>35.4</v>
      </c>
      <c r="I31" s="11">
        <v>6.3166666666666664</v>
      </c>
      <c r="J31" s="11">
        <v>10.35</v>
      </c>
      <c r="K31" s="11">
        <v>65.8</v>
      </c>
      <c r="L31" s="11">
        <v>46.880533333333332</v>
      </c>
      <c r="M31" s="11">
        <v>183.4</v>
      </c>
    </row>
    <row r="32" spans="1:13" x14ac:dyDescent="0.25">
      <c r="A32" s="6">
        <v>49</v>
      </c>
      <c r="B32" s="6" t="s">
        <v>273</v>
      </c>
      <c r="C32" s="6" t="s">
        <v>300</v>
      </c>
      <c r="D32" s="6" t="s">
        <v>28</v>
      </c>
      <c r="E32" s="6" t="s">
        <v>33</v>
      </c>
      <c r="F32" s="6" t="s">
        <v>33</v>
      </c>
      <c r="G32" s="10">
        <v>0</v>
      </c>
      <c r="H32" s="10">
        <v>65.983333333333334</v>
      </c>
      <c r="I32" s="10">
        <v>30.533333333333331</v>
      </c>
      <c r="J32" s="10">
        <v>6.3</v>
      </c>
      <c r="K32" s="10">
        <v>75.514616666666669</v>
      </c>
      <c r="L32" s="10">
        <v>59.383333333333333</v>
      </c>
      <c r="M32" s="10">
        <v>170.0333333333333</v>
      </c>
    </row>
    <row r="33" spans="1:13" x14ac:dyDescent="0.25">
      <c r="A33" s="8">
        <v>49</v>
      </c>
      <c r="B33" s="8" t="s">
        <v>273</v>
      </c>
      <c r="C33" s="8" t="s">
        <v>301</v>
      </c>
      <c r="D33" s="8" t="s">
        <v>28</v>
      </c>
      <c r="E33" s="8" t="s">
        <v>33</v>
      </c>
      <c r="F33" s="8" t="s">
        <v>33</v>
      </c>
      <c r="G33" s="11">
        <v>0</v>
      </c>
      <c r="H33" s="11">
        <v>20.633333333333329</v>
      </c>
      <c r="I33" s="11">
        <v>2.666666666666667</v>
      </c>
      <c r="J33" s="11">
        <v>5.0166666666666666</v>
      </c>
      <c r="K33" s="11">
        <v>43.1</v>
      </c>
      <c r="L33" s="11">
        <v>32.116666666666667</v>
      </c>
      <c r="M33" s="11">
        <v>242.5133166666667</v>
      </c>
    </row>
    <row r="34" spans="1:13" x14ac:dyDescent="0.25">
      <c r="A34" s="6">
        <v>50</v>
      </c>
      <c r="B34" s="6" t="s">
        <v>277</v>
      </c>
      <c r="C34" s="6" t="s">
        <v>300</v>
      </c>
      <c r="D34" s="6" t="s">
        <v>28</v>
      </c>
      <c r="E34" s="6" t="s">
        <v>33</v>
      </c>
      <c r="F34" s="6" t="s">
        <v>33</v>
      </c>
      <c r="G34" s="10">
        <v>34.833333333333343</v>
      </c>
      <c r="H34" s="10">
        <v>58.166666666666657</v>
      </c>
      <c r="I34" s="10">
        <v>21.679983333333329</v>
      </c>
      <c r="J34" s="10">
        <v>8.0833333333333339</v>
      </c>
      <c r="K34" s="10">
        <v>65.966666666666669</v>
      </c>
      <c r="L34" s="10">
        <v>54.8</v>
      </c>
      <c r="M34" s="10">
        <v>177.1166666666667</v>
      </c>
    </row>
    <row r="35" spans="1:13" x14ac:dyDescent="0.25">
      <c r="A35" s="8">
        <v>50</v>
      </c>
      <c r="B35" s="8" t="s">
        <v>277</v>
      </c>
      <c r="C35" s="8" t="s">
        <v>301</v>
      </c>
      <c r="D35" s="8" t="s">
        <v>28</v>
      </c>
      <c r="E35" s="8" t="s">
        <v>33</v>
      </c>
      <c r="F35" s="8" t="s">
        <v>33</v>
      </c>
      <c r="G35" s="11">
        <v>0</v>
      </c>
      <c r="H35" s="11">
        <v>35.4</v>
      </c>
      <c r="I35" s="11">
        <v>6.3166666666666664</v>
      </c>
      <c r="J35" s="11">
        <v>10.68333333333333</v>
      </c>
      <c r="K35" s="11">
        <v>66.099999999999994</v>
      </c>
      <c r="L35" s="11">
        <v>47.533333333333331</v>
      </c>
      <c r="M35" s="11">
        <v>185.7166666666667</v>
      </c>
    </row>
    <row r="36" spans="1:13" x14ac:dyDescent="0.25">
      <c r="A36" s="6">
        <v>54</v>
      </c>
      <c r="B36" s="6" t="s">
        <v>289</v>
      </c>
      <c r="C36" s="6" t="s">
        <v>300</v>
      </c>
      <c r="D36" s="6" t="s">
        <v>28</v>
      </c>
      <c r="E36" s="6" t="s">
        <v>33</v>
      </c>
      <c r="F36" s="6" t="s">
        <v>33</v>
      </c>
      <c r="G36" s="10">
        <v>34.833333333333343</v>
      </c>
      <c r="H36" s="10">
        <v>58.166666666666657</v>
      </c>
      <c r="I36" s="10">
        <v>21.679983333333329</v>
      </c>
      <c r="J36" s="10">
        <v>8</v>
      </c>
      <c r="K36" s="10">
        <v>64.5</v>
      </c>
      <c r="L36" s="10">
        <v>53.652149999999999</v>
      </c>
      <c r="M36" s="10">
        <v>176.5333333333333</v>
      </c>
    </row>
    <row r="37" spans="1:13" x14ac:dyDescent="0.25">
      <c r="A37" s="8">
        <v>54</v>
      </c>
      <c r="B37" s="8" t="s">
        <v>289</v>
      </c>
      <c r="C37" s="8" t="s">
        <v>301</v>
      </c>
      <c r="D37" s="8" t="s">
        <v>28</v>
      </c>
      <c r="E37" s="8" t="s">
        <v>33</v>
      </c>
      <c r="F37" s="8" t="s">
        <v>33</v>
      </c>
      <c r="G37" s="11">
        <v>0</v>
      </c>
      <c r="H37" s="11">
        <v>24.31666666666667</v>
      </c>
      <c r="I37" s="11">
        <v>2.666666666666667</v>
      </c>
      <c r="J37" s="11">
        <v>5.6833333333333336</v>
      </c>
      <c r="K37" s="11">
        <v>44.466666666666669</v>
      </c>
      <c r="L37" s="11">
        <v>32.450000000000003</v>
      </c>
      <c r="M37" s="11">
        <v>243.15</v>
      </c>
    </row>
    <row r="40" spans="1:13" ht="27.95" customHeight="1" x14ac:dyDescent="0.25">
      <c r="A40" s="55" t="s">
        <v>375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</row>
    <row r="41" spans="1:13" ht="3.9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3" spans="1:13" ht="30" x14ac:dyDescent="0.25">
      <c r="A43" s="9" t="s">
        <v>59</v>
      </c>
      <c r="B43" s="9" t="s">
        <v>60</v>
      </c>
      <c r="C43" s="9" t="s">
        <v>292</v>
      </c>
      <c r="D43" s="9" t="s">
        <v>24</v>
      </c>
      <c r="E43" s="9" t="s">
        <v>61</v>
      </c>
      <c r="F43" s="9" t="s">
        <v>62</v>
      </c>
      <c r="G43" s="9" t="s">
        <v>293</v>
      </c>
      <c r="H43" s="9" t="s">
        <v>294</v>
      </c>
      <c r="I43" s="9" t="s">
        <v>295</v>
      </c>
      <c r="J43" s="9" t="s">
        <v>296</v>
      </c>
      <c r="K43" s="9" t="s">
        <v>297</v>
      </c>
      <c r="L43" s="9" t="s">
        <v>298</v>
      </c>
      <c r="M43" s="9" t="s">
        <v>299</v>
      </c>
    </row>
    <row r="44" spans="1:13" x14ac:dyDescent="0.25">
      <c r="A44" s="6">
        <v>42</v>
      </c>
      <c r="B44" s="6" t="s">
        <v>242</v>
      </c>
      <c r="C44" s="6" t="s">
        <v>300</v>
      </c>
      <c r="D44" s="6" t="s">
        <v>28</v>
      </c>
      <c r="E44" s="6" t="s">
        <v>33</v>
      </c>
      <c r="F44" s="6" t="s">
        <v>33</v>
      </c>
      <c r="G44" s="10">
        <v>0.1119717603069536</v>
      </c>
      <c r="H44" s="10">
        <v>8.2158448585864255E-2</v>
      </c>
      <c r="I44" s="10">
        <v>1.643615657683831E-2</v>
      </c>
      <c r="J44" s="10">
        <v>0.5125712172728395</v>
      </c>
      <c r="K44" s="10">
        <v>67.117549684267743</v>
      </c>
      <c r="L44" s="10">
        <v>56.356321664556063</v>
      </c>
      <c r="M44" s="10">
        <v>197.66418683099539</v>
      </c>
    </row>
    <row r="45" spans="1:13" x14ac:dyDescent="0.25">
      <c r="A45" s="8">
        <v>42</v>
      </c>
      <c r="B45" s="8" t="s">
        <v>242</v>
      </c>
      <c r="C45" s="8" t="s">
        <v>301</v>
      </c>
      <c r="D45" s="8" t="s">
        <v>28</v>
      </c>
      <c r="E45" s="8" t="s">
        <v>33</v>
      </c>
      <c r="F45" s="8" t="s">
        <v>33</v>
      </c>
      <c r="G45" s="11">
        <v>0</v>
      </c>
      <c r="H45" s="11">
        <v>0.47667835410688608</v>
      </c>
      <c r="I45" s="11">
        <v>1.27297174998127E-2</v>
      </c>
      <c r="J45" s="11">
        <v>0.4202840859765154</v>
      </c>
      <c r="K45" s="11">
        <v>40.651361378664021</v>
      </c>
      <c r="L45" s="11">
        <v>31.659462752029832</v>
      </c>
      <c r="M45" s="11">
        <v>249.21290311643861</v>
      </c>
    </row>
    <row r="46" spans="1:13" x14ac:dyDescent="0.25">
      <c r="A46" s="6">
        <v>43</v>
      </c>
      <c r="B46" s="6" t="s">
        <v>248</v>
      </c>
      <c r="C46" s="6" t="s">
        <v>300</v>
      </c>
      <c r="D46" s="6" t="s">
        <v>28</v>
      </c>
      <c r="E46" s="6" t="s">
        <v>33</v>
      </c>
      <c r="F46" s="6" t="s">
        <v>33</v>
      </c>
      <c r="G46" s="10">
        <v>0.1119717603069536</v>
      </c>
      <c r="H46" s="10">
        <v>0.2137910036648912</v>
      </c>
      <c r="I46" s="10">
        <v>2.66289259127734E-2</v>
      </c>
      <c r="J46" s="10">
        <v>0.53192012036127867</v>
      </c>
      <c r="K46" s="10">
        <v>67.235218047696108</v>
      </c>
      <c r="L46" s="10">
        <v>56.319756834393488</v>
      </c>
      <c r="M46" s="10">
        <v>197.7381876113653</v>
      </c>
    </row>
    <row r="47" spans="1:13" x14ac:dyDescent="0.25">
      <c r="A47" s="8">
        <v>43</v>
      </c>
      <c r="B47" s="8" t="s">
        <v>248</v>
      </c>
      <c r="C47" s="8" t="s">
        <v>301</v>
      </c>
      <c r="D47" s="8" t="s">
        <v>28</v>
      </c>
      <c r="E47" s="8" t="s">
        <v>33</v>
      </c>
      <c r="F47" s="8" t="s">
        <v>33</v>
      </c>
      <c r="G47" s="11">
        <v>0</v>
      </c>
      <c r="H47" s="11">
        <v>0.45036794227206151</v>
      </c>
      <c r="I47" s="11">
        <v>6.3170939991916364E-2</v>
      </c>
      <c r="J47" s="11">
        <v>0.89965978323865836</v>
      </c>
      <c r="K47" s="11">
        <v>58.376029715565082</v>
      </c>
      <c r="L47" s="11">
        <v>42.972091125409762</v>
      </c>
      <c r="M47" s="11">
        <v>218.8656286111331</v>
      </c>
    </row>
    <row r="48" spans="1:13" x14ac:dyDescent="0.25">
      <c r="A48" s="6">
        <v>44</v>
      </c>
      <c r="B48" s="6" t="s">
        <v>254</v>
      </c>
      <c r="C48" s="6" t="s">
        <v>300</v>
      </c>
      <c r="D48" s="6" t="s">
        <v>28</v>
      </c>
      <c r="E48" s="6" t="s">
        <v>33</v>
      </c>
      <c r="F48" s="6" t="s">
        <v>33</v>
      </c>
      <c r="G48" s="10">
        <v>0</v>
      </c>
      <c r="H48" s="10">
        <v>0.24021946013287521</v>
      </c>
      <c r="I48" s="10">
        <v>0.21586370090681031</v>
      </c>
      <c r="J48" s="10">
        <v>0.59248667710547542</v>
      </c>
      <c r="K48" s="10">
        <v>70.970852140693879</v>
      </c>
      <c r="L48" s="10">
        <v>57.389927718761932</v>
      </c>
      <c r="M48" s="10">
        <v>195.02043862678869</v>
      </c>
    </row>
    <row r="49" spans="1:13" x14ac:dyDescent="0.25">
      <c r="A49" s="8">
        <v>44</v>
      </c>
      <c r="B49" s="8" t="s">
        <v>254</v>
      </c>
      <c r="C49" s="8" t="s">
        <v>301</v>
      </c>
      <c r="D49" s="8" t="s">
        <v>28</v>
      </c>
      <c r="E49" s="8" t="s">
        <v>33</v>
      </c>
      <c r="F49" s="8" t="s">
        <v>33</v>
      </c>
      <c r="G49" s="11">
        <v>0</v>
      </c>
      <c r="H49" s="11">
        <v>0.34786384859507741</v>
      </c>
      <c r="I49" s="11">
        <v>1.27297174998127E-2</v>
      </c>
      <c r="J49" s="11">
        <v>0.4202840859765154</v>
      </c>
      <c r="K49" s="11">
        <v>41.502099869045793</v>
      </c>
      <c r="L49" s="11">
        <v>32.234391519954421</v>
      </c>
      <c r="M49" s="11">
        <v>250.51769768747249</v>
      </c>
    </row>
    <row r="50" spans="1:13" x14ac:dyDescent="0.25">
      <c r="A50" s="6">
        <v>45</v>
      </c>
      <c r="B50" s="6" t="s">
        <v>259</v>
      </c>
      <c r="C50" s="6" t="s">
        <v>300</v>
      </c>
      <c r="D50" s="6" t="s">
        <v>28</v>
      </c>
      <c r="E50" s="6" t="s">
        <v>33</v>
      </c>
      <c r="F50" s="6" t="s">
        <v>33</v>
      </c>
      <c r="G50" s="10">
        <v>0.1119717603069536</v>
      </c>
      <c r="H50" s="10">
        <v>0.2137910036648912</v>
      </c>
      <c r="I50" s="10">
        <v>2.66289259127734E-2</v>
      </c>
      <c r="J50" s="10">
        <v>0.56215733478846408</v>
      </c>
      <c r="K50" s="10">
        <v>67.301100613028154</v>
      </c>
      <c r="L50" s="10">
        <v>56.319756834393488</v>
      </c>
      <c r="M50" s="10">
        <v>197.7381876113653</v>
      </c>
    </row>
    <row r="51" spans="1:13" x14ac:dyDescent="0.25">
      <c r="A51" s="8">
        <v>45</v>
      </c>
      <c r="B51" s="8" t="s">
        <v>259</v>
      </c>
      <c r="C51" s="8" t="s">
        <v>301</v>
      </c>
      <c r="D51" s="8" t="s">
        <v>28</v>
      </c>
      <c r="E51" s="8" t="s">
        <v>33</v>
      </c>
      <c r="F51" s="8" t="s">
        <v>33</v>
      </c>
      <c r="G51" s="11">
        <v>0</v>
      </c>
      <c r="H51" s="11">
        <v>0.44332241051292248</v>
      </c>
      <c r="I51" s="11">
        <v>0.428265735708522</v>
      </c>
      <c r="J51" s="11">
        <v>0.51104472499002784</v>
      </c>
      <c r="K51" s="11">
        <v>36.197264170490961</v>
      </c>
      <c r="L51" s="11">
        <v>28.879561718426849</v>
      </c>
      <c r="M51" s="11">
        <v>256.18752385879287</v>
      </c>
    </row>
    <row r="52" spans="1:13" x14ac:dyDescent="0.25">
      <c r="A52" s="6">
        <v>46</v>
      </c>
      <c r="B52" s="6" t="s">
        <v>263</v>
      </c>
      <c r="C52" s="6" t="s">
        <v>300</v>
      </c>
      <c r="D52" s="6" t="s">
        <v>28</v>
      </c>
      <c r="E52" s="6" t="s">
        <v>33</v>
      </c>
      <c r="F52" s="6" t="s">
        <v>33</v>
      </c>
      <c r="G52" s="10">
        <v>8.8935996553685642E-2</v>
      </c>
      <c r="H52" s="10">
        <v>0.1794253337608642</v>
      </c>
      <c r="I52" s="10">
        <v>5.059730733317578E-2</v>
      </c>
      <c r="J52" s="10">
        <v>0.57665162648251256</v>
      </c>
      <c r="K52" s="10">
        <v>63.807175975714962</v>
      </c>
      <c r="L52" s="10">
        <v>54.004262033049137</v>
      </c>
      <c r="M52" s="10">
        <v>206.22798010798391</v>
      </c>
    </row>
    <row r="53" spans="1:13" x14ac:dyDescent="0.25">
      <c r="A53" s="8">
        <v>46</v>
      </c>
      <c r="B53" s="8" t="s">
        <v>263</v>
      </c>
      <c r="C53" s="8" t="s">
        <v>301</v>
      </c>
      <c r="D53" s="8" t="s">
        <v>28</v>
      </c>
      <c r="E53" s="8" t="s">
        <v>33</v>
      </c>
      <c r="F53" s="8" t="s">
        <v>33</v>
      </c>
      <c r="G53" s="11">
        <v>0</v>
      </c>
      <c r="H53" s="11">
        <v>0.47667835410688608</v>
      </c>
      <c r="I53" s="11">
        <v>1.27297174998127E-2</v>
      </c>
      <c r="J53" s="11">
        <v>0.4202840859765154</v>
      </c>
      <c r="K53" s="11">
        <v>41.502099869045793</v>
      </c>
      <c r="L53" s="11">
        <v>32.504544856726113</v>
      </c>
      <c r="M53" s="11">
        <v>250.81001115689449</v>
      </c>
    </row>
    <row r="54" spans="1:13" x14ac:dyDescent="0.25">
      <c r="A54" s="6">
        <v>48</v>
      </c>
      <c r="B54" s="6" t="s">
        <v>269</v>
      </c>
      <c r="C54" s="6" t="s">
        <v>300</v>
      </c>
      <c r="D54" s="6" t="s">
        <v>28</v>
      </c>
      <c r="E54" s="6" t="s">
        <v>33</v>
      </c>
      <c r="F54" s="6" t="s">
        <v>33</v>
      </c>
      <c r="G54" s="10">
        <v>0</v>
      </c>
      <c r="H54" s="10">
        <v>0.24021946013287521</v>
      </c>
      <c r="I54" s="10">
        <v>0.21586370090681031</v>
      </c>
      <c r="J54" s="10">
        <v>0.59801557616878198</v>
      </c>
      <c r="K54" s="10">
        <v>71.216839058001057</v>
      </c>
      <c r="L54" s="10">
        <v>57.608886510204798</v>
      </c>
      <c r="M54" s="10">
        <v>195.5190827900918</v>
      </c>
    </row>
    <row r="55" spans="1:13" x14ac:dyDescent="0.25">
      <c r="A55" s="8">
        <v>48</v>
      </c>
      <c r="B55" s="8" t="s">
        <v>269</v>
      </c>
      <c r="C55" s="8" t="s">
        <v>301</v>
      </c>
      <c r="D55" s="8" t="s">
        <v>28</v>
      </c>
      <c r="E55" s="8" t="s">
        <v>33</v>
      </c>
      <c r="F55" s="8" t="s">
        <v>33</v>
      </c>
      <c r="G55" s="11">
        <v>0</v>
      </c>
      <c r="H55" s="11">
        <v>0.45036794227206151</v>
      </c>
      <c r="I55" s="11">
        <v>6.3170939991916364E-2</v>
      </c>
      <c r="J55" s="11">
        <v>0.91605902538235162</v>
      </c>
      <c r="K55" s="11">
        <v>59.818804156881647</v>
      </c>
      <c r="L55" s="11">
        <v>44.251155441805381</v>
      </c>
      <c r="M55" s="11">
        <v>219.38476491375911</v>
      </c>
    </row>
    <row r="56" spans="1:13" x14ac:dyDescent="0.25">
      <c r="A56" s="6">
        <v>49</v>
      </c>
      <c r="B56" s="6" t="s">
        <v>273</v>
      </c>
      <c r="C56" s="6" t="s">
        <v>300</v>
      </c>
      <c r="D56" s="6" t="s">
        <v>28</v>
      </c>
      <c r="E56" s="6" t="s">
        <v>33</v>
      </c>
      <c r="F56" s="6" t="s">
        <v>33</v>
      </c>
      <c r="G56" s="10">
        <v>0</v>
      </c>
      <c r="H56" s="10">
        <v>0.24021946013287521</v>
      </c>
      <c r="I56" s="10">
        <v>0.21586370090681031</v>
      </c>
      <c r="J56" s="10">
        <v>0.59248667710547542</v>
      </c>
      <c r="K56" s="10">
        <v>70.784207486832642</v>
      </c>
      <c r="L56" s="10">
        <v>57.217170971545229</v>
      </c>
      <c r="M56" s="10">
        <v>194.703693789026</v>
      </c>
    </row>
    <row r="57" spans="1:13" x14ac:dyDescent="0.25">
      <c r="A57" s="8">
        <v>49</v>
      </c>
      <c r="B57" s="8" t="s">
        <v>273</v>
      </c>
      <c r="C57" s="8" t="s">
        <v>301</v>
      </c>
      <c r="D57" s="8" t="s">
        <v>28</v>
      </c>
      <c r="E57" s="8" t="s">
        <v>33</v>
      </c>
      <c r="F57" s="8" t="s">
        <v>33</v>
      </c>
      <c r="G57" s="11">
        <v>0</v>
      </c>
      <c r="H57" s="11">
        <v>0.4185697978984132</v>
      </c>
      <c r="I57" s="11">
        <v>0.428265735708522</v>
      </c>
      <c r="J57" s="11">
        <v>0.46660244135921242</v>
      </c>
      <c r="K57" s="11">
        <v>35.974181316756393</v>
      </c>
      <c r="L57" s="11">
        <v>28.82664857731616</v>
      </c>
      <c r="M57" s="11">
        <v>258.01087185827743</v>
      </c>
    </row>
    <row r="58" spans="1:13" x14ac:dyDescent="0.25">
      <c r="A58" s="6">
        <v>50</v>
      </c>
      <c r="B58" s="6" t="s">
        <v>277</v>
      </c>
      <c r="C58" s="6" t="s">
        <v>300</v>
      </c>
      <c r="D58" s="6" t="s">
        <v>28</v>
      </c>
      <c r="E58" s="6" t="s">
        <v>33</v>
      </c>
      <c r="F58" s="6" t="s">
        <v>33</v>
      </c>
      <c r="G58" s="10">
        <v>8.8935996553685642E-2</v>
      </c>
      <c r="H58" s="10">
        <v>0.32793162569742029</v>
      </c>
      <c r="I58" s="10">
        <v>7.129119195051567E-2</v>
      </c>
      <c r="J58" s="10">
        <v>0.58798551523868015</v>
      </c>
      <c r="K58" s="10">
        <v>64.436710906579819</v>
      </c>
      <c r="L58" s="10">
        <v>54.476327256366737</v>
      </c>
      <c r="M58" s="10">
        <v>206.47677975070661</v>
      </c>
    </row>
    <row r="59" spans="1:13" x14ac:dyDescent="0.25">
      <c r="A59" s="8">
        <v>50</v>
      </c>
      <c r="B59" s="8" t="s">
        <v>277</v>
      </c>
      <c r="C59" s="8" t="s">
        <v>301</v>
      </c>
      <c r="D59" s="8" t="s">
        <v>28</v>
      </c>
      <c r="E59" s="8" t="s">
        <v>33</v>
      </c>
      <c r="F59" s="8" t="s">
        <v>33</v>
      </c>
      <c r="G59" s="11">
        <v>0</v>
      </c>
      <c r="H59" s="11">
        <v>0.45036794227206151</v>
      </c>
      <c r="I59" s="11">
        <v>6.3170939991916364E-2</v>
      </c>
      <c r="J59" s="11">
        <v>0.93014040423638877</v>
      </c>
      <c r="K59" s="11">
        <v>59.921886497585753</v>
      </c>
      <c r="L59" s="11">
        <v>44.514803191227927</v>
      </c>
      <c r="M59" s="11">
        <v>220.25377341913091</v>
      </c>
    </row>
    <row r="60" spans="1:13" x14ac:dyDescent="0.25">
      <c r="A60" s="6">
        <v>54</v>
      </c>
      <c r="B60" s="6" t="s">
        <v>289</v>
      </c>
      <c r="C60" s="6" t="s">
        <v>300</v>
      </c>
      <c r="D60" s="6" t="s">
        <v>28</v>
      </c>
      <c r="E60" s="6" t="s">
        <v>33</v>
      </c>
      <c r="F60" s="6" t="s">
        <v>33</v>
      </c>
      <c r="G60" s="10">
        <v>8.8935996553685642E-2</v>
      </c>
      <c r="H60" s="10">
        <v>0.32793162569742029</v>
      </c>
      <c r="I60" s="10">
        <v>0.10141816483241591</v>
      </c>
      <c r="J60" s="10">
        <v>0.57665162648251256</v>
      </c>
      <c r="K60" s="10">
        <v>63.630851515328487</v>
      </c>
      <c r="L60" s="10">
        <v>53.728638461221273</v>
      </c>
      <c r="M60" s="10">
        <v>206.0150800117203</v>
      </c>
    </row>
    <row r="61" spans="1:13" x14ac:dyDescent="0.25">
      <c r="A61" s="8">
        <v>54</v>
      </c>
      <c r="B61" s="8" t="s">
        <v>289</v>
      </c>
      <c r="C61" s="8" t="s">
        <v>301</v>
      </c>
      <c r="D61" s="8" t="s">
        <v>28</v>
      </c>
      <c r="E61" s="8" t="s">
        <v>33</v>
      </c>
      <c r="F61" s="8" t="s">
        <v>33</v>
      </c>
      <c r="G61" s="11">
        <v>0</v>
      </c>
      <c r="H61" s="11">
        <v>0.44236745429158209</v>
      </c>
      <c r="I61" s="11">
        <v>0.428265735708522</v>
      </c>
      <c r="J61" s="11">
        <v>0.51104472499002784</v>
      </c>
      <c r="K61" s="11">
        <v>36.406613940185977</v>
      </c>
      <c r="L61" s="11">
        <v>29.047822987177661</v>
      </c>
      <c r="M61" s="11">
        <v>258.19733356892652</v>
      </c>
    </row>
  </sheetData>
  <autoFilter ref="A43:M61"/>
  <mergeCells count="3">
    <mergeCell ref="A16:M16"/>
    <mergeCell ref="A1:R1"/>
    <mergeCell ref="A40:M40"/>
  </mergeCell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12" customWidth="1"/>
    <col min="4" max="4" width="11" customWidth="1"/>
    <col min="5" max="5" width="26" customWidth="1"/>
    <col min="6" max="6" width="27" customWidth="1"/>
    <col min="7" max="7" width="22" customWidth="1"/>
    <col min="8" max="8" width="21" customWidth="1"/>
    <col min="9" max="9" width="22" customWidth="1"/>
    <col min="10" max="10" width="20" customWidth="1"/>
    <col min="11" max="13" width="19" customWidth="1"/>
    <col min="14" max="14" width="13" customWidth="1"/>
    <col min="15" max="15" width="16" customWidth="1"/>
    <col min="16" max="16" width="14" customWidth="1"/>
    <col min="17" max="18" width="28" customWidth="1"/>
  </cols>
  <sheetData>
    <row r="1" spans="1:18" ht="27.95" customHeight="1" x14ac:dyDescent="0.25">
      <c r="A1" s="55" t="s">
        <v>376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x14ac:dyDescent="0.25">
      <c r="A4" s="9" t="s">
        <v>59</v>
      </c>
      <c r="B4" s="9" t="s">
        <v>60</v>
      </c>
      <c r="C4" s="9" t="s">
        <v>39</v>
      </c>
      <c r="D4" s="9" t="s">
        <v>24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72</v>
      </c>
      <c r="Q4" s="9" t="s">
        <v>73</v>
      </c>
      <c r="R4" s="9" t="s">
        <v>74</v>
      </c>
    </row>
    <row r="5" spans="1:18" x14ac:dyDescent="0.25">
      <c r="A5" s="6">
        <v>1</v>
      </c>
      <c r="B5" s="6" t="s">
        <v>75</v>
      </c>
      <c r="C5" s="6" t="s">
        <v>44</v>
      </c>
      <c r="D5" s="6" t="s">
        <v>28</v>
      </c>
      <c r="E5" s="6" t="s">
        <v>35</v>
      </c>
      <c r="F5" s="6" t="s">
        <v>76</v>
      </c>
      <c r="G5" s="6" t="s">
        <v>77</v>
      </c>
      <c r="H5" s="6" t="s">
        <v>78</v>
      </c>
      <c r="I5" s="10">
        <v>305.16658691227991</v>
      </c>
      <c r="J5" s="10">
        <v>310.4742418277487</v>
      </c>
      <c r="K5" s="10">
        <v>343.84039999999999</v>
      </c>
      <c r="L5" s="10">
        <v>311.50751666666667</v>
      </c>
      <c r="M5" s="6" t="s">
        <v>79</v>
      </c>
      <c r="N5" s="6" t="s">
        <v>80</v>
      </c>
      <c r="O5" s="6" t="s">
        <v>81</v>
      </c>
      <c r="P5" s="6" t="s">
        <v>82</v>
      </c>
      <c r="Q5" s="10">
        <v>69.11154120244322</v>
      </c>
      <c r="R5" s="10">
        <v>63.460767866371931</v>
      </c>
    </row>
    <row r="6" spans="1:18" x14ac:dyDescent="0.25">
      <c r="A6" s="8">
        <v>2</v>
      </c>
      <c r="B6" s="8" t="s">
        <v>83</v>
      </c>
      <c r="C6" s="8" t="s">
        <v>44</v>
      </c>
      <c r="D6" s="8" t="s">
        <v>28</v>
      </c>
      <c r="E6" s="8" t="s">
        <v>35</v>
      </c>
      <c r="F6" s="8" t="s">
        <v>76</v>
      </c>
      <c r="G6" s="8" t="s">
        <v>77</v>
      </c>
      <c r="H6" s="8" t="s">
        <v>84</v>
      </c>
      <c r="I6" s="11">
        <v>305.10727765948627</v>
      </c>
      <c r="J6" s="11">
        <v>305.2160753980956</v>
      </c>
      <c r="K6" s="11">
        <v>343.84039999999999</v>
      </c>
      <c r="L6" s="11">
        <v>299.01821666666672</v>
      </c>
      <c r="M6" s="8" t="s">
        <v>79</v>
      </c>
      <c r="N6" s="8" t="s">
        <v>80</v>
      </c>
      <c r="O6" s="8" t="s">
        <v>85</v>
      </c>
      <c r="P6" s="8" t="s">
        <v>86</v>
      </c>
      <c r="Q6" s="11">
        <v>69.098086819344246</v>
      </c>
      <c r="R6" s="11">
        <v>66.422255950595925</v>
      </c>
    </row>
    <row r="7" spans="1:18" x14ac:dyDescent="0.25">
      <c r="A7" s="6">
        <v>3</v>
      </c>
      <c r="B7" s="6" t="s">
        <v>87</v>
      </c>
      <c r="C7" s="6" t="s">
        <v>44</v>
      </c>
      <c r="D7" s="6" t="s">
        <v>28</v>
      </c>
      <c r="E7" s="6" t="s">
        <v>35</v>
      </c>
      <c r="F7" s="6" t="s">
        <v>88</v>
      </c>
      <c r="G7" s="6" t="s">
        <v>89</v>
      </c>
      <c r="H7" s="6" t="s">
        <v>90</v>
      </c>
      <c r="I7" s="10">
        <v>320.33950971072761</v>
      </c>
      <c r="J7" s="10">
        <v>320.68901803404901</v>
      </c>
      <c r="K7" s="10">
        <v>345.61666666666667</v>
      </c>
      <c r="L7" s="10">
        <v>358.39743333333331</v>
      </c>
      <c r="M7" s="6" t="s">
        <v>91</v>
      </c>
      <c r="N7" s="6" t="s">
        <v>92</v>
      </c>
      <c r="O7" s="6" t="s">
        <v>93</v>
      </c>
      <c r="P7" s="6" t="s">
        <v>94</v>
      </c>
      <c r="Q7" s="10">
        <v>64.616756627859615</v>
      </c>
      <c r="R7" s="10">
        <v>59.679115606607731</v>
      </c>
    </row>
    <row r="8" spans="1:18" x14ac:dyDescent="0.25">
      <c r="A8" s="8">
        <v>32</v>
      </c>
      <c r="B8" s="8" t="s">
        <v>201</v>
      </c>
      <c r="C8" s="8" t="s">
        <v>44</v>
      </c>
      <c r="D8" s="8" t="s">
        <v>28</v>
      </c>
      <c r="E8" s="8" t="s">
        <v>35</v>
      </c>
      <c r="F8" s="8" t="s">
        <v>76</v>
      </c>
      <c r="G8" s="8" t="s">
        <v>145</v>
      </c>
      <c r="H8" s="8" t="s">
        <v>78</v>
      </c>
      <c r="I8" s="11">
        <v>324.82784685582573</v>
      </c>
      <c r="J8" s="11">
        <v>330.65385365728412</v>
      </c>
      <c r="K8" s="11">
        <v>356.12246666666658</v>
      </c>
      <c r="L8" s="11">
        <v>333.43333333333328</v>
      </c>
      <c r="M8" s="8" t="s">
        <v>202</v>
      </c>
      <c r="N8" s="8" t="s">
        <v>203</v>
      </c>
      <c r="O8" s="8" t="s">
        <v>81</v>
      </c>
      <c r="P8" s="8" t="s">
        <v>204</v>
      </c>
      <c r="Q8" s="11">
        <v>65.688581946123335</v>
      </c>
      <c r="R8" s="11">
        <v>62.887753110635487</v>
      </c>
    </row>
    <row r="9" spans="1:18" x14ac:dyDescent="0.25">
      <c r="A9" s="6">
        <v>33</v>
      </c>
      <c r="B9" s="6" t="s">
        <v>205</v>
      </c>
      <c r="C9" s="6" t="s">
        <v>44</v>
      </c>
      <c r="D9" s="6" t="s">
        <v>28</v>
      </c>
      <c r="E9" s="6" t="s">
        <v>35</v>
      </c>
      <c r="F9" s="6" t="s">
        <v>76</v>
      </c>
      <c r="G9" s="6" t="s">
        <v>145</v>
      </c>
      <c r="H9" s="6" t="s">
        <v>84</v>
      </c>
      <c r="I9" s="10">
        <v>320.29500345641202</v>
      </c>
      <c r="J9" s="10">
        <v>320.93023294332693</v>
      </c>
      <c r="K9" s="10">
        <v>350.05456666666669</v>
      </c>
      <c r="L9" s="10">
        <v>317.31619999999998</v>
      </c>
      <c r="M9" s="6" t="s">
        <v>206</v>
      </c>
      <c r="N9" s="6" t="s">
        <v>207</v>
      </c>
      <c r="O9" s="6" t="s">
        <v>208</v>
      </c>
      <c r="P9" s="6" t="s">
        <v>209</v>
      </c>
      <c r="Q9" s="10">
        <v>66.126659936677697</v>
      </c>
      <c r="R9" s="10">
        <v>65.883968417687953</v>
      </c>
    </row>
    <row r="10" spans="1:18" x14ac:dyDescent="0.25">
      <c r="A10" s="8">
        <v>36</v>
      </c>
      <c r="B10" s="8" t="s">
        <v>214</v>
      </c>
      <c r="C10" s="8" t="s">
        <v>44</v>
      </c>
      <c r="D10" s="8" t="s">
        <v>28</v>
      </c>
      <c r="E10" s="8" t="s">
        <v>35</v>
      </c>
      <c r="F10" s="8" t="s">
        <v>88</v>
      </c>
      <c r="G10" s="8" t="s">
        <v>84</v>
      </c>
      <c r="H10" s="8" t="s">
        <v>90</v>
      </c>
      <c r="I10" s="11">
        <v>326.45811266430007</v>
      </c>
      <c r="J10" s="11">
        <v>326.59061742825281</v>
      </c>
      <c r="K10" s="11">
        <v>477.62115</v>
      </c>
      <c r="L10" s="11">
        <v>368.08333333333331</v>
      </c>
      <c r="M10" s="8" t="s">
        <v>215</v>
      </c>
      <c r="N10" s="8" t="s">
        <v>216</v>
      </c>
      <c r="O10" s="8" t="s">
        <v>208</v>
      </c>
      <c r="P10" s="8" t="s">
        <v>217</v>
      </c>
      <c r="Q10" s="11">
        <v>53.205170227322412</v>
      </c>
      <c r="R10" s="11">
        <v>59.004059141794428</v>
      </c>
    </row>
    <row r="11" spans="1:18" x14ac:dyDescent="0.25">
      <c r="A11" s="6">
        <v>37</v>
      </c>
      <c r="B11" s="6" t="s">
        <v>218</v>
      </c>
      <c r="C11" s="6" t="s">
        <v>42</v>
      </c>
      <c r="D11" s="6" t="s">
        <v>28</v>
      </c>
      <c r="E11" s="6" t="s">
        <v>35</v>
      </c>
      <c r="F11" s="6" t="s">
        <v>76</v>
      </c>
      <c r="G11" s="6" t="s">
        <v>219</v>
      </c>
      <c r="H11" s="6" t="s">
        <v>84</v>
      </c>
      <c r="I11" s="10">
        <v>249.12684837179509</v>
      </c>
      <c r="J11" s="10">
        <v>249.90720121217629</v>
      </c>
      <c r="K11" s="10">
        <v>261.38704999999999</v>
      </c>
      <c r="L11" s="10">
        <v>244.9409666666667</v>
      </c>
      <c r="M11" s="6" t="s">
        <v>220</v>
      </c>
      <c r="N11" s="6" t="s">
        <v>221</v>
      </c>
      <c r="O11" s="6" t="s">
        <v>85</v>
      </c>
      <c r="P11" s="6" t="s">
        <v>222</v>
      </c>
      <c r="Q11" s="10">
        <v>63.843688448222949</v>
      </c>
      <c r="R11" s="10">
        <v>67.45522324597772</v>
      </c>
    </row>
    <row r="14" spans="1:18" ht="27.95" customHeight="1" x14ac:dyDescent="0.25">
      <c r="A14" s="55" t="s">
        <v>377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</row>
    <row r="15" spans="1:18" ht="3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7" spans="1:13" ht="30" x14ac:dyDescent="0.25">
      <c r="A17" s="9" t="s">
        <v>59</v>
      </c>
      <c r="B17" s="9" t="s">
        <v>60</v>
      </c>
      <c r="C17" s="9" t="s">
        <v>292</v>
      </c>
      <c r="D17" s="9" t="s">
        <v>24</v>
      </c>
      <c r="E17" s="9" t="s">
        <v>61</v>
      </c>
      <c r="F17" s="9" t="s">
        <v>62</v>
      </c>
      <c r="G17" s="9" t="s">
        <v>293</v>
      </c>
      <c r="H17" s="9" t="s">
        <v>294</v>
      </c>
      <c r="I17" s="9" t="s">
        <v>295</v>
      </c>
      <c r="J17" s="9" t="s">
        <v>296</v>
      </c>
      <c r="K17" s="9" t="s">
        <v>297</v>
      </c>
      <c r="L17" s="9" t="s">
        <v>298</v>
      </c>
      <c r="M17" s="9" t="s">
        <v>299</v>
      </c>
    </row>
    <row r="18" spans="1:13" x14ac:dyDescent="0.25">
      <c r="A18" s="6">
        <v>1</v>
      </c>
      <c r="B18" s="6" t="s">
        <v>75</v>
      </c>
      <c r="C18" s="6" t="s">
        <v>300</v>
      </c>
      <c r="D18" s="6" t="s">
        <v>28</v>
      </c>
      <c r="E18" s="6" t="s">
        <v>35</v>
      </c>
      <c r="F18" s="6" t="s">
        <v>76</v>
      </c>
      <c r="G18" s="10">
        <v>30</v>
      </c>
      <c r="H18" s="10">
        <v>23.65</v>
      </c>
      <c r="I18" s="10">
        <v>25.7</v>
      </c>
      <c r="J18" s="10">
        <v>7.6</v>
      </c>
      <c r="K18" s="10">
        <v>61.423733333333331</v>
      </c>
      <c r="L18" s="10">
        <v>45.18333333333333</v>
      </c>
      <c r="M18" s="10">
        <v>150.2833333333333</v>
      </c>
    </row>
    <row r="19" spans="1:13" x14ac:dyDescent="0.25">
      <c r="A19" s="8">
        <v>1</v>
      </c>
      <c r="B19" s="8" t="s">
        <v>75</v>
      </c>
      <c r="C19" s="8" t="s">
        <v>301</v>
      </c>
      <c r="D19" s="8" t="s">
        <v>28</v>
      </c>
      <c r="E19" s="8" t="s">
        <v>35</v>
      </c>
      <c r="F19" s="8" t="s">
        <v>76</v>
      </c>
      <c r="G19" s="11">
        <v>0</v>
      </c>
      <c r="H19" s="11">
        <v>18.100000000000001</v>
      </c>
      <c r="I19" s="11">
        <v>6.6666666666666666E-2</v>
      </c>
      <c r="J19" s="11">
        <v>1.75</v>
      </c>
      <c r="K19" s="11">
        <v>57.690849999999998</v>
      </c>
      <c r="L19" s="11">
        <v>41.383333333333333</v>
      </c>
      <c r="M19" s="11">
        <v>192.51666666666671</v>
      </c>
    </row>
    <row r="20" spans="1:13" x14ac:dyDescent="0.25">
      <c r="A20" s="6">
        <v>2</v>
      </c>
      <c r="B20" s="6" t="s">
        <v>83</v>
      </c>
      <c r="C20" s="6" t="s">
        <v>300</v>
      </c>
      <c r="D20" s="6" t="s">
        <v>28</v>
      </c>
      <c r="E20" s="6" t="s">
        <v>35</v>
      </c>
      <c r="F20" s="6" t="s">
        <v>76</v>
      </c>
      <c r="G20" s="10">
        <v>30</v>
      </c>
      <c r="H20" s="10">
        <v>23.65</v>
      </c>
      <c r="I20" s="10">
        <v>25.7</v>
      </c>
      <c r="J20" s="10">
        <v>7.6</v>
      </c>
      <c r="K20" s="10">
        <v>61.423733333333331</v>
      </c>
      <c r="L20" s="10">
        <v>45.18333333333333</v>
      </c>
      <c r="M20" s="10">
        <v>150.2833333333333</v>
      </c>
    </row>
    <row r="21" spans="1:13" x14ac:dyDescent="0.25">
      <c r="A21" s="8">
        <v>2</v>
      </c>
      <c r="B21" s="8" t="s">
        <v>83</v>
      </c>
      <c r="C21" s="8" t="s">
        <v>301</v>
      </c>
      <c r="D21" s="8" t="s">
        <v>28</v>
      </c>
      <c r="E21" s="8" t="s">
        <v>35</v>
      </c>
      <c r="F21" s="8" t="s">
        <v>76</v>
      </c>
      <c r="G21" s="11">
        <v>0</v>
      </c>
      <c r="H21" s="11">
        <v>16.43333333333333</v>
      </c>
      <c r="I21" s="11">
        <v>6.9833333333333334</v>
      </c>
      <c r="J21" s="11">
        <v>5</v>
      </c>
      <c r="K21" s="11">
        <v>60.018216666666667</v>
      </c>
      <c r="L21" s="11">
        <v>42.633333333333333</v>
      </c>
      <c r="M21" s="11">
        <v>167.95</v>
      </c>
    </row>
    <row r="22" spans="1:13" x14ac:dyDescent="0.25">
      <c r="A22" s="6">
        <v>3</v>
      </c>
      <c r="B22" s="6" t="s">
        <v>87</v>
      </c>
      <c r="C22" s="6" t="s">
        <v>300</v>
      </c>
      <c r="D22" s="6" t="s">
        <v>28</v>
      </c>
      <c r="E22" s="6" t="s">
        <v>35</v>
      </c>
      <c r="F22" s="6" t="s">
        <v>88</v>
      </c>
      <c r="G22" s="10">
        <v>38.333333333333343</v>
      </c>
      <c r="H22" s="10">
        <v>10.56666666666667</v>
      </c>
      <c r="I22" s="10">
        <v>0</v>
      </c>
      <c r="J22" s="10">
        <v>0.66666666666666663</v>
      </c>
      <c r="K22" s="10">
        <v>49.31666666666667</v>
      </c>
      <c r="L22" s="10">
        <v>44.583333333333343</v>
      </c>
      <c r="M22" s="10">
        <v>202.15</v>
      </c>
    </row>
    <row r="23" spans="1:13" x14ac:dyDescent="0.25">
      <c r="A23" s="8">
        <v>3</v>
      </c>
      <c r="B23" s="8" t="s">
        <v>87</v>
      </c>
      <c r="C23" s="8" t="s">
        <v>301</v>
      </c>
      <c r="D23" s="8" t="s">
        <v>28</v>
      </c>
      <c r="E23" s="8" t="s">
        <v>35</v>
      </c>
      <c r="F23" s="8" t="s">
        <v>88</v>
      </c>
      <c r="G23" s="11">
        <v>0</v>
      </c>
      <c r="H23" s="11">
        <v>35.983333333333327</v>
      </c>
      <c r="I23" s="11">
        <v>0.35</v>
      </c>
      <c r="J23" s="11">
        <v>4.083333333333333</v>
      </c>
      <c r="K23" s="11">
        <v>62.087049999999998</v>
      </c>
      <c r="L23" s="11">
        <v>50.533333333333331</v>
      </c>
      <c r="M23" s="11">
        <v>205.36038333333329</v>
      </c>
    </row>
    <row r="24" spans="1:13" x14ac:dyDescent="0.25">
      <c r="A24" s="6">
        <v>32</v>
      </c>
      <c r="B24" s="6" t="s">
        <v>201</v>
      </c>
      <c r="C24" s="6" t="s">
        <v>300</v>
      </c>
      <c r="D24" s="6" t="s">
        <v>28</v>
      </c>
      <c r="E24" s="6" t="s">
        <v>35</v>
      </c>
      <c r="F24" s="6" t="s">
        <v>76</v>
      </c>
      <c r="G24" s="10">
        <v>23.4</v>
      </c>
      <c r="H24" s="10">
        <v>37.616666666666667</v>
      </c>
      <c r="I24" s="10">
        <v>0</v>
      </c>
      <c r="J24" s="10">
        <v>0.58333333333333337</v>
      </c>
      <c r="K24" s="10">
        <v>58.389133333333326</v>
      </c>
      <c r="L24" s="10">
        <v>47.783333333333331</v>
      </c>
      <c r="M24" s="10">
        <v>188.35</v>
      </c>
    </row>
    <row r="25" spans="1:13" x14ac:dyDescent="0.25">
      <c r="A25" s="8">
        <v>32</v>
      </c>
      <c r="B25" s="8" t="s">
        <v>201</v>
      </c>
      <c r="C25" s="8" t="s">
        <v>301</v>
      </c>
      <c r="D25" s="8" t="s">
        <v>28</v>
      </c>
      <c r="E25" s="8" t="s">
        <v>35</v>
      </c>
      <c r="F25" s="8" t="s">
        <v>76</v>
      </c>
      <c r="G25" s="11">
        <v>0</v>
      </c>
      <c r="H25" s="11">
        <v>18.100000000000001</v>
      </c>
      <c r="I25" s="11">
        <v>6.6666666666666666E-2</v>
      </c>
      <c r="J25" s="11">
        <v>1.75</v>
      </c>
      <c r="K25" s="11">
        <v>61.95</v>
      </c>
      <c r="L25" s="11">
        <v>44.95</v>
      </c>
      <c r="M25" s="11">
        <v>206.6166666666667</v>
      </c>
    </row>
    <row r="26" spans="1:13" x14ac:dyDescent="0.25">
      <c r="A26" s="6">
        <v>33</v>
      </c>
      <c r="B26" s="6" t="s">
        <v>205</v>
      </c>
      <c r="C26" s="6" t="s">
        <v>300</v>
      </c>
      <c r="D26" s="6" t="s">
        <v>28</v>
      </c>
      <c r="E26" s="6" t="s">
        <v>35</v>
      </c>
      <c r="F26" s="6" t="s">
        <v>76</v>
      </c>
      <c r="G26" s="10">
        <v>23.4</v>
      </c>
      <c r="H26" s="10">
        <v>37.616666666666667</v>
      </c>
      <c r="I26" s="10">
        <v>0</v>
      </c>
      <c r="J26" s="10">
        <v>0.58333333333333337</v>
      </c>
      <c r="K26" s="10">
        <v>56.670316666666658</v>
      </c>
      <c r="L26" s="10">
        <v>46.800916666666673</v>
      </c>
      <c r="M26" s="10">
        <v>184.98333333333329</v>
      </c>
    </row>
    <row r="27" spans="1:13" x14ac:dyDescent="0.25">
      <c r="A27" s="8">
        <v>33</v>
      </c>
      <c r="B27" s="8" t="s">
        <v>205</v>
      </c>
      <c r="C27" s="8" t="s">
        <v>301</v>
      </c>
      <c r="D27" s="8" t="s">
        <v>28</v>
      </c>
      <c r="E27" s="8" t="s">
        <v>35</v>
      </c>
      <c r="F27" s="8" t="s">
        <v>76</v>
      </c>
      <c r="G27" s="11">
        <v>0</v>
      </c>
      <c r="H27" s="11">
        <v>16.43333333333333</v>
      </c>
      <c r="I27" s="11">
        <v>8.7333333333333325</v>
      </c>
      <c r="J27" s="11">
        <v>5.083333333333333</v>
      </c>
      <c r="K27" s="11">
        <v>63.81666666666667</v>
      </c>
      <c r="L27" s="11">
        <v>46.866666666666667</v>
      </c>
      <c r="M27" s="11">
        <v>176.3828666666667</v>
      </c>
    </row>
    <row r="28" spans="1:13" x14ac:dyDescent="0.25">
      <c r="A28" s="6">
        <v>36</v>
      </c>
      <c r="B28" s="6" t="s">
        <v>214</v>
      </c>
      <c r="C28" s="6" t="s">
        <v>300</v>
      </c>
      <c r="D28" s="6" t="s">
        <v>28</v>
      </c>
      <c r="E28" s="6" t="s">
        <v>35</v>
      </c>
      <c r="F28" s="6" t="s">
        <v>88</v>
      </c>
      <c r="G28" s="10">
        <v>40.299999999999997</v>
      </c>
      <c r="H28" s="10">
        <v>46.846666666666671</v>
      </c>
      <c r="I28" s="10">
        <v>23.25</v>
      </c>
      <c r="J28" s="10">
        <v>14.68333333333333</v>
      </c>
      <c r="K28" s="10">
        <v>52.483333333333327</v>
      </c>
      <c r="L28" s="10">
        <v>45.116666666666667</v>
      </c>
      <c r="M28" s="10">
        <v>254.94114999999999</v>
      </c>
    </row>
    <row r="29" spans="1:13" x14ac:dyDescent="0.25">
      <c r="A29" s="8">
        <v>36</v>
      </c>
      <c r="B29" s="8" t="s">
        <v>214</v>
      </c>
      <c r="C29" s="8" t="s">
        <v>301</v>
      </c>
      <c r="D29" s="8" t="s">
        <v>28</v>
      </c>
      <c r="E29" s="8" t="s">
        <v>35</v>
      </c>
      <c r="F29" s="8" t="s">
        <v>88</v>
      </c>
      <c r="G29" s="11">
        <v>0</v>
      </c>
      <c r="H29" s="11">
        <v>35.983333333333327</v>
      </c>
      <c r="I29" s="11">
        <v>0.35</v>
      </c>
      <c r="J29" s="11">
        <v>4.166666666666667</v>
      </c>
      <c r="K29" s="11">
        <v>65.36666666666666</v>
      </c>
      <c r="L29" s="11">
        <v>52.466666666666669</v>
      </c>
      <c r="M29" s="11">
        <v>209.75</v>
      </c>
    </row>
    <row r="30" spans="1:13" x14ac:dyDescent="0.25">
      <c r="A30" s="6">
        <v>37</v>
      </c>
      <c r="B30" s="6" t="s">
        <v>218</v>
      </c>
      <c r="C30" s="6" t="s">
        <v>300</v>
      </c>
      <c r="D30" s="6" t="s">
        <v>28</v>
      </c>
      <c r="E30" s="6" t="s">
        <v>35</v>
      </c>
      <c r="F30" s="6" t="s">
        <v>76</v>
      </c>
      <c r="G30" s="10">
        <v>20.983333333333331</v>
      </c>
      <c r="H30" s="10">
        <v>3.666666666666667</v>
      </c>
      <c r="I30" s="10">
        <v>3.0333333333333332</v>
      </c>
      <c r="J30" s="10">
        <v>7.2833333333333332</v>
      </c>
      <c r="K30" s="10">
        <v>33.003716666666669</v>
      </c>
      <c r="L30" s="10">
        <v>29.65</v>
      </c>
      <c r="M30" s="10">
        <v>163.76666666666671</v>
      </c>
    </row>
    <row r="31" spans="1:13" x14ac:dyDescent="0.25">
      <c r="A31" s="8">
        <v>37</v>
      </c>
      <c r="B31" s="8" t="s">
        <v>218</v>
      </c>
      <c r="C31" s="8" t="s">
        <v>301</v>
      </c>
      <c r="D31" s="8" t="s">
        <v>28</v>
      </c>
      <c r="E31" s="8" t="s">
        <v>35</v>
      </c>
      <c r="F31" s="8" t="s">
        <v>76</v>
      </c>
      <c r="G31" s="11">
        <v>0</v>
      </c>
      <c r="H31" s="11">
        <v>16.43333333333333</v>
      </c>
      <c r="I31" s="11">
        <v>6.3166666666666664</v>
      </c>
      <c r="J31" s="11">
        <v>5</v>
      </c>
      <c r="K31" s="11">
        <v>46.8</v>
      </c>
      <c r="L31" s="11">
        <v>33.416666666666657</v>
      </c>
      <c r="M31" s="11">
        <v>136.9743</v>
      </c>
    </row>
    <row r="34" spans="1:13" ht="27.95" customHeight="1" x14ac:dyDescent="0.25">
      <c r="A34" s="55" t="s">
        <v>378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</row>
    <row r="35" spans="1:13" ht="3.9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7" spans="1:13" ht="30" x14ac:dyDescent="0.25">
      <c r="A37" s="9" t="s">
        <v>59</v>
      </c>
      <c r="B37" s="9" t="s">
        <v>60</v>
      </c>
      <c r="C37" s="9" t="s">
        <v>292</v>
      </c>
      <c r="D37" s="9" t="s">
        <v>24</v>
      </c>
      <c r="E37" s="9" t="s">
        <v>61</v>
      </c>
      <c r="F37" s="9" t="s">
        <v>62</v>
      </c>
      <c r="G37" s="9" t="s">
        <v>293</v>
      </c>
      <c r="H37" s="9" t="s">
        <v>294</v>
      </c>
      <c r="I37" s="9" t="s">
        <v>295</v>
      </c>
      <c r="J37" s="9" t="s">
        <v>296</v>
      </c>
      <c r="K37" s="9" t="s">
        <v>297</v>
      </c>
      <c r="L37" s="9" t="s">
        <v>298</v>
      </c>
      <c r="M37" s="9" t="s">
        <v>299</v>
      </c>
    </row>
    <row r="38" spans="1:13" x14ac:dyDescent="0.25">
      <c r="A38" s="6">
        <v>1</v>
      </c>
      <c r="B38" s="6" t="s">
        <v>75</v>
      </c>
      <c r="C38" s="6" t="s">
        <v>300</v>
      </c>
      <c r="D38" s="6" t="s">
        <v>28</v>
      </c>
      <c r="E38" s="6" t="s">
        <v>35</v>
      </c>
      <c r="F38" s="6" t="s">
        <v>76</v>
      </c>
      <c r="G38" s="10">
        <v>0.31331323290921648</v>
      </c>
      <c r="H38" s="10">
        <v>4.1652318794050638E-2</v>
      </c>
      <c r="I38" s="10">
        <v>0.155968406398383</v>
      </c>
      <c r="J38" s="10">
        <v>0.44927380259769911</v>
      </c>
      <c r="K38" s="10">
        <v>60.308696506028731</v>
      </c>
      <c r="L38" s="10">
        <v>44.619089325926979</v>
      </c>
      <c r="M38" s="10">
        <v>199.27859331962469</v>
      </c>
    </row>
    <row r="39" spans="1:13" x14ac:dyDescent="0.25">
      <c r="A39" s="8">
        <v>1</v>
      </c>
      <c r="B39" s="8" t="s">
        <v>75</v>
      </c>
      <c r="C39" s="8" t="s">
        <v>301</v>
      </c>
      <c r="D39" s="8" t="s">
        <v>28</v>
      </c>
      <c r="E39" s="8" t="s">
        <v>35</v>
      </c>
      <c r="F39" s="8" t="s">
        <v>76</v>
      </c>
      <c r="G39" s="11">
        <v>0</v>
      </c>
      <c r="H39" s="11">
        <v>0.2136487015115684</v>
      </c>
      <c r="I39" s="11">
        <v>0</v>
      </c>
      <c r="J39" s="11">
        <v>0.30731281945969252</v>
      </c>
      <c r="K39" s="11">
        <v>55.580881691351998</v>
      </c>
      <c r="L39" s="11">
        <v>38.88632527176938</v>
      </c>
      <c r="M39" s="11">
        <v>215.4860733436561</v>
      </c>
    </row>
    <row r="40" spans="1:13" x14ac:dyDescent="0.25">
      <c r="A40" s="6">
        <v>2</v>
      </c>
      <c r="B40" s="6" t="s">
        <v>83</v>
      </c>
      <c r="C40" s="6" t="s">
        <v>300</v>
      </c>
      <c r="D40" s="6" t="s">
        <v>28</v>
      </c>
      <c r="E40" s="6" t="s">
        <v>35</v>
      </c>
      <c r="F40" s="6" t="s">
        <v>76</v>
      </c>
      <c r="G40" s="10">
        <v>0.31331323290921648</v>
      </c>
      <c r="H40" s="10">
        <v>4.1652318794050638E-2</v>
      </c>
      <c r="I40" s="10">
        <v>0.155968406398383</v>
      </c>
      <c r="J40" s="10">
        <v>0.44927380259769911</v>
      </c>
      <c r="K40" s="10">
        <v>60.301496385496783</v>
      </c>
      <c r="L40" s="10">
        <v>44.619089325926979</v>
      </c>
      <c r="M40" s="10">
        <v>199.22648418736321</v>
      </c>
    </row>
    <row r="41" spans="1:13" x14ac:dyDescent="0.25">
      <c r="A41" s="8">
        <v>2</v>
      </c>
      <c r="B41" s="8" t="s">
        <v>83</v>
      </c>
      <c r="C41" s="8" t="s">
        <v>301</v>
      </c>
      <c r="D41" s="8" t="s">
        <v>28</v>
      </c>
      <c r="E41" s="8" t="s">
        <v>35</v>
      </c>
      <c r="F41" s="8" t="s">
        <v>76</v>
      </c>
      <c r="G41" s="11">
        <v>0</v>
      </c>
      <c r="H41" s="11">
        <v>8.3882197240028836E-2</v>
      </c>
      <c r="I41" s="11">
        <v>3.091495950618035E-2</v>
      </c>
      <c r="J41" s="11">
        <v>0.2309310830082773</v>
      </c>
      <c r="K41" s="11">
        <v>57.928893825091471</v>
      </c>
      <c r="L41" s="11">
        <v>43.162925395186832</v>
      </c>
      <c r="M41" s="11">
        <v>203.77852793806281</v>
      </c>
    </row>
    <row r="42" spans="1:13" x14ac:dyDescent="0.25">
      <c r="A42" s="6">
        <v>3</v>
      </c>
      <c r="B42" s="6" t="s">
        <v>87</v>
      </c>
      <c r="C42" s="6" t="s">
        <v>300</v>
      </c>
      <c r="D42" s="6" t="s">
        <v>28</v>
      </c>
      <c r="E42" s="6" t="s">
        <v>35</v>
      </c>
      <c r="F42" s="6" t="s">
        <v>88</v>
      </c>
      <c r="G42" s="10">
        <v>0.32207239596471771</v>
      </c>
      <c r="H42" s="10">
        <v>0.46962669093374088</v>
      </c>
      <c r="I42" s="10">
        <v>0</v>
      </c>
      <c r="J42" s="10">
        <v>0.26467880112010561</v>
      </c>
      <c r="K42" s="10">
        <v>46.828639184274387</v>
      </c>
      <c r="L42" s="10">
        <v>41.953809708617477</v>
      </c>
      <c r="M42" s="10">
        <v>230.50068292981709</v>
      </c>
    </row>
    <row r="43" spans="1:13" x14ac:dyDescent="0.25">
      <c r="A43" s="8">
        <v>3</v>
      </c>
      <c r="B43" s="8" t="s">
        <v>87</v>
      </c>
      <c r="C43" s="8" t="s">
        <v>301</v>
      </c>
      <c r="D43" s="8" t="s">
        <v>28</v>
      </c>
      <c r="E43" s="8" t="s">
        <v>35</v>
      </c>
      <c r="F43" s="8" t="s">
        <v>88</v>
      </c>
      <c r="G43" s="11">
        <v>0</v>
      </c>
      <c r="H43" s="11">
        <v>0.34734042341449439</v>
      </c>
      <c r="I43" s="11">
        <v>0</v>
      </c>
      <c r="J43" s="11">
        <v>0.43740140315438419</v>
      </c>
      <c r="K43" s="11">
        <v>58.410381444501432</v>
      </c>
      <c r="L43" s="11">
        <v>47.464359459883809</v>
      </c>
      <c r="M43" s="11">
        <v>214.02953530309489</v>
      </c>
    </row>
    <row r="44" spans="1:13" x14ac:dyDescent="0.25">
      <c r="A44" s="6">
        <v>32</v>
      </c>
      <c r="B44" s="6" t="s">
        <v>201</v>
      </c>
      <c r="C44" s="6" t="s">
        <v>300</v>
      </c>
      <c r="D44" s="6" t="s">
        <v>28</v>
      </c>
      <c r="E44" s="6" t="s">
        <v>35</v>
      </c>
      <c r="F44" s="6" t="s">
        <v>76</v>
      </c>
      <c r="G44" s="10">
        <v>0.14191087104532421</v>
      </c>
      <c r="H44" s="10">
        <v>1.601243883509142</v>
      </c>
      <c r="I44" s="10">
        <v>0</v>
      </c>
      <c r="J44" s="10">
        <v>0.2289474824354939</v>
      </c>
      <c r="K44" s="10">
        <v>60.390008783948808</v>
      </c>
      <c r="L44" s="10">
        <v>48.618346688203523</v>
      </c>
      <c r="M44" s="10">
        <v>213.8473891466835</v>
      </c>
    </row>
    <row r="45" spans="1:13" x14ac:dyDescent="0.25">
      <c r="A45" s="8">
        <v>32</v>
      </c>
      <c r="B45" s="8" t="s">
        <v>201</v>
      </c>
      <c r="C45" s="8" t="s">
        <v>301</v>
      </c>
      <c r="D45" s="8" t="s">
        <v>28</v>
      </c>
      <c r="E45" s="8" t="s">
        <v>35</v>
      </c>
      <c r="F45" s="8" t="s">
        <v>76</v>
      </c>
      <c r="G45" s="11">
        <v>0</v>
      </c>
      <c r="H45" s="11">
        <v>0.2136487015115684</v>
      </c>
      <c r="I45" s="11">
        <v>0</v>
      </c>
      <c r="J45" s="11">
        <v>0.30731281945969252</v>
      </c>
      <c r="K45" s="11">
        <v>59.158885604214703</v>
      </c>
      <c r="L45" s="11">
        <v>41.619295306483529</v>
      </c>
      <c r="M45" s="11">
        <v>229.35471122561461</v>
      </c>
    </row>
    <row r="46" spans="1:13" x14ac:dyDescent="0.25">
      <c r="A46" s="6">
        <v>33</v>
      </c>
      <c r="B46" s="6" t="s">
        <v>205</v>
      </c>
      <c r="C46" s="6" t="s">
        <v>300</v>
      </c>
      <c r="D46" s="6" t="s">
        <v>28</v>
      </c>
      <c r="E46" s="6" t="s">
        <v>35</v>
      </c>
      <c r="F46" s="6" t="s">
        <v>76</v>
      </c>
      <c r="G46" s="10">
        <v>0.14191087104532421</v>
      </c>
      <c r="H46" s="10">
        <v>1.601243883509142</v>
      </c>
      <c r="I46" s="10">
        <v>0</v>
      </c>
      <c r="J46" s="10">
        <v>0.2289474824354939</v>
      </c>
      <c r="K46" s="10">
        <v>59.191315216437189</v>
      </c>
      <c r="L46" s="10">
        <v>47.930006827141881</v>
      </c>
      <c r="M46" s="10">
        <v>211.20157917584299</v>
      </c>
    </row>
    <row r="47" spans="1:13" x14ac:dyDescent="0.25">
      <c r="A47" s="8">
        <v>33</v>
      </c>
      <c r="B47" s="8" t="s">
        <v>205</v>
      </c>
      <c r="C47" s="8" t="s">
        <v>301</v>
      </c>
      <c r="D47" s="8" t="s">
        <v>28</v>
      </c>
      <c r="E47" s="8" t="s">
        <v>35</v>
      </c>
      <c r="F47" s="8" t="s">
        <v>76</v>
      </c>
      <c r="G47" s="11">
        <v>0</v>
      </c>
      <c r="H47" s="11">
        <v>8.3882197240028836E-2</v>
      </c>
      <c r="I47" s="11">
        <v>4.6840289826681099E-2</v>
      </c>
      <c r="J47" s="11">
        <v>0.24952844734976529</v>
      </c>
      <c r="K47" s="11">
        <v>61.459796257234032</v>
      </c>
      <c r="L47" s="11">
        <v>46.932577465389251</v>
      </c>
      <c r="M47" s="11">
        <v>212.15760828628709</v>
      </c>
    </row>
    <row r="48" spans="1:13" x14ac:dyDescent="0.25">
      <c r="A48" s="6">
        <v>36</v>
      </c>
      <c r="B48" s="6" t="s">
        <v>214</v>
      </c>
      <c r="C48" s="6" t="s">
        <v>300</v>
      </c>
      <c r="D48" s="6" t="s">
        <v>28</v>
      </c>
      <c r="E48" s="6" t="s">
        <v>35</v>
      </c>
      <c r="F48" s="6" t="s">
        <v>88</v>
      </c>
      <c r="G48" s="10">
        <v>7.3400927521957676E-2</v>
      </c>
      <c r="H48" s="10">
        <v>0.70180496243028956</v>
      </c>
      <c r="I48" s="10">
        <v>4.5554317839269158E-2</v>
      </c>
      <c r="J48" s="10">
        <v>1.402436801450748</v>
      </c>
      <c r="K48" s="10">
        <v>43.073610496415832</v>
      </c>
      <c r="L48" s="10">
        <v>38.728575105778127</v>
      </c>
      <c r="M48" s="10">
        <v>242.43273005286389</v>
      </c>
    </row>
    <row r="49" spans="1:13" x14ac:dyDescent="0.25">
      <c r="A49" s="8">
        <v>36</v>
      </c>
      <c r="B49" s="8" t="s">
        <v>214</v>
      </c>
      <c r="C49" s="8" t="s">
        <v>301</v>
      </c>
      <c r="D49" s="8" t="s">
        <v>28</v>
      </c>
      <c r="E49" s="8" t="s">
        <v>35</v>
      </c>
      <c r="F49" s="8" t="s">
        <v>88</v>
      </c>
      <c r="G49" s="11">
        <v>0</v>
      </c>
      <c r="H49" s="11">
        <v>0.34734042341449439</v>
      </c>
      <c r="I49" s="11">
        <v>0</v>
      </c>
      <c r="J49" s="11">
        <v>0.45457411253170432</v>
      </c>
      <c r="K49" s="11">
        <v>60.408704745590633</v>
      </c>
      <c r="L49" s="11">
        <v>48.510694040374013</v>
      </c>
      <c r="M49" s="11">
        <v>216.86930410634201</v>
      </c>
    </row>
    <row r="50" spans="1:13" x14ac:dyDescent="0.25">
      <c r="A50" s="6">
        <v>37</v>
      </c>
      <c r="B50" s="6" t="s">
        <v>218</v>
      </c>
      <c r="C50" s="6" t="s">
        <v>300</v>
      </c>
      <c r="D50" s="6" t="s">
        <v>28</v>
      </c>
      <c r="E50" s="6" t="s">
        <v>35</v>
      </c>
      <c r="F50" s="6" t="s">
        <v>76</v>
      </c>
      <c r="G50" s="10">
        <v>0.30535713043367269</v>
      </c>
      <c r="H50" s="10">
        <v>0.14094843113112021</v>
      </c>
      <c r="I50" s="10">
        <v>5.4215425897099186E-3</v>
      </c>
      <c r="J50" s="10">
        <v>0.92447727733159768</v>
      </c>
      <c r="K50" s="10">
        <v>30.514332664280492</v>
      </c>
      <c r="L50" s="10">
        <v>28.675992224263862</v>
      </c>
      <c r="M50" s="10">
        <v>188.56031910176461</v>
      </c>
    </row>
    <row r="51" spans="1:13" x14ac:dyDescent="0.25">
      <c r="A51" s="8">
        <v>37</v>
      </c>
      <c r="B51" s="8" t="s">
        <v>218</v>
      </c>
      <c r="C51" s="8" t="s">
        <v>301</v>
      </c>
      <c r="D51" s="8" t="s">
        <v>28</v>
      </c>
      <c r="E51" s="8" t="s">
        <v>35</v>
      </c>
      <c r="F51" s="8" t="s">
        <v>76</v>
      </c>
      <c r="G51" s="11">
        <v>0</v>
      </c>
      <c r="H51" s="11">
        <v>8.3882197240028836E-2</v>
      </c>
      <c r="I51" s="11">
        <v>2.4298019276443351E-2</v>
      </c>
      <c r="J51" s="11">
        <v>0.2309310830082773</v>
      </c>
      <c r="K51" s="11">
        <v>45.486197913377573</v>
      </c>
      <c r="L51" s="11">
        <v>34.428473200240241</v>
      </c>
      <c r="M51" s="11">
        <v>169.6534187990338</v>
      </c>
    </row>
  </sheetData>
  <autoFilter ref="A37:M51"/>
  <mergeCells count="3">
    <mergeCell ref="A14:M14"/>
    <mergeCell ref="A1:R1"/>
    <mergeCell ref="A34:M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44</vt:i4>
      </vt:variant>
    </vt:vector>
  </HeadingPairs>
  <TitlesOfParts>
    <vt:vector size="73" baseType="lpstr">
      <vt:lpstr>Calc</vt:lpstr>
      <vt:lpstr>Model</vt:lpstr>
      <vt:lpstr>Trip_Input</vt:lpstr>
      <vt:lpstr>Dashboard</vt:lpstr>
      <vt:lpstr>00_Index</vt:lpstr>
      <vt:lpstr>01_All_Pairs</vt:lpstr>
      <vt:lpstr>02_INTERCITY</vt:lpstr>
      <vt:lpstr>03_Same_Day_All</vt:lpstr>
      <vt:lpstr>04_Same_Day_INTERCITY</vt:lpstr>
      <vt:lpstr>05_Diff_Day_Time_All</vt:lpstr>
      <vt:lpstr>06_Diff_Day_Time_INTERCITY</vt:lpstr>
      <vt:lpstr>07_STRICT</vt:lpstr>
      <vt:lpstr>08_NONSTRICT</vt:lpstr>
      <vt:lpstr>09_COMBINED</vt:lpstr>
      <vt:lpstr>D01_Chennai_to_Pondicherry_STRI</vt:lpstr>
      <vt:lpstr>D02_Chennai_to_Pondicherry_NONS</vt:lpstr>
      <vt:lpstr>D03_Madhuravoyal_to_Madiwala_ST</vt:lpstr>
      <vt:lpstr>D04_Madhuravoyal_to_Madiwala_NO</vt:lpstr>
      <vt:lpstr>D05_Madiwala_to_Madhuravoyal_ST</vt:lpstr>
      <vt:lpstr>D06_Madiwala_to_Madhuravoyal_NO</vt:lpstr>
      <vt:lpstr>D07_Maduravoyal_to_Silk_Board_N</vt:lpstr>
      <vt:lpstr>D08_Pondicherry_to_Chennai_STRI</vt:lpstr>
      <vt:lpstr>D09_Pondicherry_to_Chennai_NONS</vt:lpstr>
      <vt:lpstr>D10_Silk_Board_to_Maduravoyal_S</vt:lpstr>
      <vt:lpstr>D11_Silk_Board_to_Maduravoyal_N</vt:lpstr>
      <vt:lpstr>R01_Chennai_Pondicherry</vt:lpstr>
      <vt:lpstr>R02_Madhuravoyal_to_Madiwala</vt:lpstr>
      <vt:lpstr>R03_Madiwala_to_Madhuravoyal</vt:lpstr>
      <vt:lpstr>R04_Maduravoyal_Silk_Board</vt:lpstr>
      <vt:lpstr>TAT_Acc_D</vt:lpstr>
      <vt:lpstr>TAT_Acc_EV</vt:lpstr>
      <vt:lpstr>TAT_AuxBase_D</vt:lpstr>
      <vt:lpstr>TAT_AuxBase_EV</vt:lpstr>
      <vt:lpstr>TAT_Cal_Apply</vt:lpstr>
      <vt:lpstr>TAT_CF_D</vt:lpstr>
      <vt:lpstr>TAT_CF_EV</vt:lpstr>
      <vt:lpstr>TAT_Crr_D</vt:lpstr>
      <vt:lpstr>TAT_Crr_EV</vt:lpstr>
      <vt:lpstr>TAT_Descent_Share</vt:lpstr>
      <vt:lpstr>TAT_EF_Diesel</vt:lpstr>
      <vt:lpstr>TAT_EF_Grid</vt:lpstr>
      <vt:lpstr>TAT_EtaCharger</vt:lpstr>
      <vt:lpstr>TAT_EtaEng_D</vt:lpstr>
      <vt:lpstr>TAT_EtaPT_D</vt:lpstr>
      <vt:lpstr>TAT_EtaPT_EV</vt:lpstr>
      <vt:lpstr>TAT_G_acc</vt:lpstr>
      <vt:lpstr>TAT_HVAC_k</vt:lpstr>
      <vt:lpstr>TAT_HVAC_Tset</vt:lpstr>
      <vt:lpstr>TAT_IdleFuel_D</vt:lpstr>
      <vt:lpstr>TAT_Kaero_D</vt:lpstr>
      <vt:lpstr>TAT_Kaero_EV</vt:lpstr>
      <vt:lpstr>TAT_Kerb_D</vt:lpstr>
      <vt:lpstr>TAT_Kerb_EV</vt:lpstr>
      <vt:lpstr>TAT_L_Basis</vt:lpstr>
      <vt:lpstr>TAT_L_Bus</vt:lpstr>
      <vt:lpstr>TAT_L_Corr</vt:lpstr>
      <vt:lpstr>TAT_L_Metric</vt:lpstr>
      <vt:lpstr>TAT_L_Month</vt:lpstr>
      <vt:lpstr>TAT_L_RouteCorr</vt:lpstr>
      <vt:lpstr>TAT_L_RouteDir</vt:lpstr>
      <vt:lpstr>TAT_LHV_kWhL</vt:lpstr>
      <vt:lpstr>TAT_Pax_Default</vt:lpstr>
      <vt:lpstr>TAT_Pax_Mass</vt:lpstr>
      <vt:lpstr>TAT_Price_Diesel</vt:lpstr>
      <vt:lpstr>TAT_Regen_EV</vt:lpstr>
      <vt:lpstr>TAT_Sel_Basis</vt:lpstr>
      <vt:lpstr>TAT_Sel_Corridor</vt:lpstr>
      <vt:lpstr>TAT_Sel_Direction</vt:lpstr>
      <vt:lpstr>TAT_Sel_DirEff</vt:lpstr>
      <vt:lpstr>TAT_Sel_Metric</vt:lpstr>
      <vt:lpstr>TAT_Sel_Month</vt:lpstr>
      <vt:lpstr>TAT_Tariff_EV</vt:lpstr>
      <vt:lpstr>TAT_Temp_Default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CoEZET</cp:lastModifiedBy>
  <dcterms:created xsi:type="dcterms:W3CDTF">2026-10-06T17:50:31Z</dcterms:created>
  <dcterms:modified xsi:type="dcterms:W3CDTF">2026-10-28T05:47:44Z</dcterms:modified>
</cp:coreProperties>
</file>