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cendor Group\Desktop\"/>
    </mc:Choice>
  </mc:AlternateContent>
  <bookViews>
    <workbookView xWindow="-108" yWindow="-108" windowWidth="23256" windowHeight="12576"/>
  </bookViews>
  <sheets>
    <sheet name="1-A" sheetId="2" r:id="rId1"/>
    <sheet name="1-B &amp; C" sheetId="3" r:id="rId2"/>
    <sheet name="1-D" sheetId="7" r:id="rId3"/>
    <sheet name="1E,F,G,H" sheetId="8" r:id="rId4"/>
  </sheets>
  <definedNames>
    <definedName name="solver_adj" localSheetId="1" hidden="1">'1-B &amp; C'!$F$2:$J$2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'1-B &amp; C'!$K$23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8" i="8" l="1"/>
  <c r="D58" i="8"/>
  <c r="E58" i="8"/>
  <c r="B58" i="8"/>
  <c r="I63" i="8"/>
  <c r="E57" i="8" l="1"/>
  <c r="D57" i="8"/>
  <c r="C57" i="8"/>
  <c r="B57" i="8"/>
  <c r="A50" i="8" l="1"/>
  <c r="B50" i="8"/>
  <c r="C50" i="8"/>
  <c r="D50" i="8"/>
  <c r="A51" i="8"/>
  <c r="B51" i="8"/>
  <c r="C51" i="8"/>
  <c r="D51" i="8"/>
  <c r="A52" i="8"/>
  <c r="B52" i="8"/>
  <c r="C52" i="8"/>
  <c r="D52" i="8"/>
  <c r="B49" i="8"/>
  <c r="C49" i="8"/>
  <c r="D49" i="8"/>
  <c r="A49" i="8"/>
  <c r="L29" i="8"/>
  <c r="L28" i="8"/>
  <c r="L27" i="8"/>
  <c r="N40" i="8" a="1"/>
  <c r="P40" i="8" s="1"/>
  <c r="N40" i="8"/>
  <c r="O40" i="8"/>
  <c r="Q40" i="8"/>
  <c r="Q41" i="8"/>
  <c r="N42" i="8"/>
  <c r="O42" i="8"/>
  <c r="P42" i="8"/>
  <c r="Q42" i="8"/>
  <c r="Q43" i="8"/>
  <c r="K40" i="8" a="1"/>
  <c r="K41" i="8" s="1"/>
  <c r="F40" i="8" a="1"/>
  <c r="F40" i="8" s="1"/>
  <c r="P43" i="8" l="1"/>
  <c r="P41" i="8"/>
  <c r="O43" i="8"/>
  <c r="O41" i="8"/>
  <c r="N43" i="8"/>
  <c r="N41" i="8"/>
  <c r="K40" i="8"/>
  <c r="K43" i="8"/>
  <c r="K42" i="8"/>
  <c r="H40" i="8"/>
  <c r="H41" i="8"/>
  <c r="F41" i="8"/>
  <c r="G40" i="8"/>
  <c r="I43" i="8"/>
  <c r="I41" i="8"/>
  <c r="H43" i="8"/>
  <c r="G43" i="8"/>
  <c r="G41" i="8"/>
  <c r="F43" i="8"/>
  <c r="I42" i="8"/>
  <c r="I40" i="8"/>
  <c r="H42" i="8"/>
  <c r="G42" i="8"/>
  <c r="F42" i="8"/>
  <c r="A40" i="8" l="1" a="1"/>
  <c r="A40" i="8" s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3" i="8"/>
  <c r="L27" i="7"/>
  <c r="L26" i="7"/>
  <c r="B41" i="8" l="1"/>
  <c r="D43" i="8"/>
  <c r="D41" i="8"/>
  <c r="C43" i="8"/>
  <c r="C41" i="8"/>
  <c r="A43" i="8"/>
  <c r="A41" i="8"/>
  <c r="D42" i="8"/>
  <c r="C40" i="8"/>
  <c r="B42" i="8"/>
  <c r="B40" i="8"/>
  <c r="B43" i="8"/>
  <c r="D40" i="8"/>
  <c r="C42" i="8"/>
  <c r="A42" i="8"/>
  <c r="L2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" i="3"/>
  <c r="A30" i="7" l="1" a="1"/>
  <c r="B30" i="7" s="1"/>
  <c r="A28" i="3" a="1"/>
  <c r="A28" i="3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C30" i="7" l="1"/>
  <c r="A30" i="7"/>
  <c r="D30" i="7"/>
  <c r="E28" i="3"/>
  <c r="D28" i="3"/>
  <c r="C28" i="3"/>
  <c r="B28" i="3"/>
  <c r="K2" i="3" l="1"/>
  <c r="K22" i="8" l="1"/>
  <c r="L22" i="8" s="1"/>
  <c r="K21" i="8"/>
  <c r="L21" i="8" s="1"/>
  <c r="K20" i="8"/>
  <c r="L20" i="8" s="1"/>
  <c r="K19" i="8"/>
  <c r="L19" i="8" s="1"/>
  <c r="K18" i="8"/>
  <c r="L18" i="8" s="1"/>
  <c r="K17" i="8"/>
  <c r="L17" i="8" s="1"/>
  <c r="K16" i="8"/>
  <c r="L16" i="8" s="1"/>
  <c r="K15" i="8"/>
  <c r="L15" i="8" s="1"/>
  <c r="K14" i="8"/>
  <c r="L14" i="8" s="1"/>
  <c r="K13" i="8"/>
  <c r="L13" i="8" s="1"/>
  <c r="K12" i="8"/>
  <c r="L12" i="8" s="1"/>
  <c r="K11" i="8"/>
  <c r="L11" i="8" s="1"/>
  <c r="K10" i="8"/>
  <c r="L10" i="8" s="1"/>
  <c r="K9" i="8"/>
  <c r="L9" i="8" s="1"/>
  <c r="K8" i="8"/>
  <c r="L8" i="8" s="1"/>
  <c r="K7" i="8"/>
  <c r="L7" i="8" s="1"/>
  <c r="K6" i="8"/>
  <c r="L6" i="8" s="1"/>
  <c r="K5" i="8"/>
  <c r="L5" i="8" s="1"/>
  <c r="K4" i="8"/>
  <c r="L4" i="8" s="1"/>
  <c r="K21" i="7"/>
  <c r="L21" i="7" s="1"/>
  <c r="M21" i="7" s="1"/>
  <c r="K20" i="7"/>
  <c r="L20" i="7" s="1"/>
  <c r="M20" i="7" s="1"/>
  <c r="K19" i="7"/>
  <c r="L19" i="7" s="1"/>
  <c r="M19" i="7" s="1"/>
  <c r="K18" i="7"/>
  <c r="L18" i="7" s="1"/>
  <c r="M18" i="7" s="1"/>
  <c r="K17" i="7"/>
  <c r="L17" i="7" s="1"/>
  <c r="M17" i="7" s="1"/>
  <c r="K16" i="7"/>
  <c r="L16" i="7" s="1"/>
  <c r="M16" i="7" s="1"/>
  <c r="K15" i="7"/>
  <c r="L15" i="7" s="1"/>
  <c r="M15" i="7" s="1"/>
  <c r="K14" i="7"/>
  <c r="L14" i="7" s="1"/>
  <c r="M14" i="7" s="1"/>
  <c r="K13" i="7"/>
  <c r="L13" i="7" s="1"/>
  <c r="M13" i="7" s="1"/>
  <c r="K12" i="7"/>
  <c r="L12" i="7" s="1"/>
  <c r="M12" i="7" s="1"/>
  <c r="K11" i="7"/>
  <c r="L11" i="7" s="1"/>
  <c r="M11" i="7" s="1"/>
  <c r="K10" i="7"/>
  <c r="L10" i="7" s="1"/>
  <c r="M10" i="7" s="1"/>
  <c r="K9" i="7"/>
  <c r="L9" i="7" s="1"/>
  <c r="M9" i="7" s="1"/>
  <c r="K8" i="7"/>
  <c r="L8" i="7" s="1"/>
  <c r="M8" i="7" s="1"/>
  <c r="K7" i="7"/>
  <c r="L7" i="7" s="1"/>
  <c r="M7" i="7" s="1"/>
  <c r="K6" i="7"/>
  <c r="L6" i="7" s="1"/>
  <c r="M6" i="7" s="1"/>
  <c r="K5" i="7"/>
  <c r="L5" i="7" s="1"/>
  <c r="M5" i="7" s="1"/>
  <c r="K4" i="7"/>
  <c r="L4" i="7" s="1"/>
  <c r="M4" i="7" s="1"/>
  <c r="K3" i="7"/>
  <c r="L3" i="7" s="1"/>
  <c r="M3" i="7" s="1"/>
  <c r="K2" i="7"/>
  <c r="J24" i="8" l="1"/>
  <c r="K3" i="8"/>
  <c r="K23" i="7"/>
  <c r="L2" i="7"/>
  <c r="K24" i="8" l="1"/>
  <c r="L3" i="8"/>
  <c r="L23" i="7"/>
  <c r="M2" i="7"/>
  <c r="M23" i="7" s="1"/>
  <c r="K3" i="3" l="1"/>
  <c r="K4" i="3"/>
  <c r="M4" i="3" s="1"/>
  <c r="K5" i="3"/>
  <c r="M5" i="3" s="1"/>
  <c r="K6" i="3"/>
  <c r="M6" i="3" s="1"/>
  <c r="K7" i="3"/>
  <c r="M7" i="3" s="1"/>
  <c r="K8" i="3"/>
  <c r="M8" i="3" s="1"/>
  <c r="K9" i="3"/>
  <c r="M9" i="3" s="1"/>
  <c r="K10" i="3"/>
  <c r="M10" i="3" s="1"/>
  <c r="K11" i="3"/>
  <c r="M11" i="3" s="1"/>
  <c r="K12" i="3"/>
  <c r="M12" i="3" s="1"/>
  <c r="K13" i="3"/>
  <c r="M13" i="3" s="1"/>
  <c r="K14" i="3"/>
  <c r="M14" i="3" s="1"/>
  <c r="K15" i="3"/>
  <c r="M15" i="3" s="1"/>
  <c r="K16" i="3"/>
  <c r="M16" i="3" s="1"/>
  <c r="K17" i="3"/>
  <c r="M17" i="3" s="1"/>
  <c r="K18" i="3"/>
  <c r="M18" i="3" s="1"/>
  <c r="K19" i="3"/>
  <c r="M19" i="3" s="1"/>
  <c r="K20" i="3"/>
  <c r="M20" i="3" s="1"/>
  <c r="K21" i="3"/>
  <c r="M21" i="3" s="1"/>
  <c r="M2" i="3" l="1"/>
  <c r="M3" i="3"/>
  <c r="K23" i="3"/>
  <c r="M23" i="3" l="1"/>
  <c r="L27" i="3"/>
  <c r="L23" i="3"/>
  <c r="N23" i="2"/>
  <c r="N24" i="2" s="1"/>
  <c r="K7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K3" i="2"/>
  <c r="K4" i="2"/>
  <c r="K5" i="2"/>
  <c r="K6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E2" i="2"/>
  <c r="M2" i="2" l="1"/>
  <c r="O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M16" i="2" s="1"/>
  <c r="O16" i="2" s="1"/>
  <c r="E17" i="2"/>
  <c r="E18" i="2"/>
  <c r="E19" i="2"/>
  <c r="E20" i="2"/>
  <c r="E21" i="2"/>
  <c r="M18" i="2" l="1"/>
  <c r="O18" i="2" s="1"/>
  <c r="M3" i="2"/>
  <c r="O3" i="2" s="1"/>
  <c r="O23" i="2" s="1"/>
  <c r="O24" i="2" s="1"/>
  <c r="M14" i="2"/>
  <c r="O14" i="2" s="1"/>
  <c r="M11" i="2"/>
  <c r="O11" i="2" s="1"/>
  <c r="M4" i="2"/>
  <c r="O4" i="2" s="1"/>
  <c r="M19" i="2"/>
  <c r="O19" i="2" s="1"/>
  <c r="M7" i="2"/>
  <c r="O7" i="2" s="1"/>
  <c r="M17" i="2"/>
  <c r="O17" i="2" s="1"/>
  <c r="M20" i="2"/>
  <c r="O20" i="2" s="1"/>
  <c r="M13" i="2"/>
  <c r="O13" i="2" s="1"/>
  <c r="M21" i="2"/>
  <c r="O21" i="2" s="1"/>
  <c r="M6" i="2"/>
  <c r="O6" i="2" s="1"/>
  <c r="M5" i="2"/>
  <c r="O5" i="2" s="1"/>
  <c r="M15" i="2"/>
  <c r="O15" i="2" s="1"/>
  <c r="M12" i="2"/>
  <c r="O12" i="2" s="1"/>
  <c r="M8" i="2"/>
  <c r="O8" i="2" s="1"/>
  <c r="M10" i="2"/>
  <c r="O10" i="2" s="1"/>
  <c r="M9" i="2"/>
  <c r="O9" i="2" s="1"/>
  <c r="M23" i="2" l="1"/>
  <c r="M24" i="2" s="1"/>
</calcChain>
</file>

<file path=xl/sharedStrings.xml><?xml version="1.0" encoding="utf-8"?>
<sst xmlns="http://schemas.openxmlformats.org/spreadsheetml/2006/main" count="130" uniqueCount="75">
  <si>
    <t>Remodeled</t>
  </si>
  <si>
    <t>Neighborhood</t>
  </si>
  <si>
    <t>Age</t>
  </si>
  <si>
    <t>Area (SQFT)</t>
  </si>
  <si>
    <t>Y</t>
  </si>
  <si>
    <t>Remodel encoded</t>
  </si>
  <si>
    <t xml:space="preserve">Area </t>
  </si>
  <si>
    <t>Nieghbour hood 1</t>
  </si>
  <si>
    <t>Nieghbour hood 2</t>
  </si>
  <si>
    <t>ERROR</t>
  </si>
  <si>
    <t>Price Estimate (without Error)</t>
  </si>
  <si>
    <t xml:space="preserve">Error </t>
  </si>
  <si>
    <t>Actual Price</t>
  </si>
  <si>
    <t>Neighborhood 1</t>
  </si>
  <si>
    <t>Neighborhood 2</t>
  </si>
  <si>
    <t>Intercept</t>
  </si>
  <si>
    <t xml:space="preserve">Price estimate </t>
  </si>
  <si>
    <t xml:space="preserve">Error**Error </t>
  </si>
  <si>
    <t>Actual Price from 1-A</t>
  </si>
  <si>
    <t>Average</t>
  </si>
  <si>
    <t>Standard DEV</t>
  </si>
  <si>
    <t>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</si>
  <si>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</si>
  <si>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</si>
  <si>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</si>
  <si>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</si>
  <si>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</si>
  <si>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</si>
  <si>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</si>
  <si>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</si>
  <si>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</si>
  <si>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</si>
  <si>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</si>
  <si>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</si>
  <si>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</si>
  <si>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</si>
  <si>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</si>
  <si>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</si>
  <si>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</si>
  <si>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</si>
  <si>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</si>
  <si>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</si>
  <si>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</si>
  <si>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</si>
  <si>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</si>
  <si>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</si>
  <si>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</si>
  <si>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Actual Price from 1-A</t>
  </si>
  <si>
    <t>Residuals</t>
  </si>
  <si>
    <t xml:space="preserve">Golden Betta Rule </t>
  </si>
  <si>
    <t>Area (SQFT) from 1-B</t>
  </si>
  <si>
    <t>Age from 1-B</t>
  </si>
  <si>
    <t>Neighborhood 1 from 1-B</t>
  </si>
  <si>
    <t>Neighborhood 2 from 1-B</t>
  </si>
  <si>
    <t>Multiply  Matrix X tranpose  by Y</t>
  </si>
  <si>
    <t>Sum Squared Error</t>
  </si>
  <si>
    <t>Variance  Of Error</t>
  </si>
  <si>
    <t>SD</t>
  </si>
  <si>
    <t>Estimate of B from E</t>
  </si>
  <si>
    <t>Variance of B from F</t>
  </si>
  <si>
    <t>Highlighted items in green we use in G</t>
  </si>
  <si>
    <r>
      <t xml:space="preserve">Variance  Of Error </t>
    </r>
    <r>
      <rPr>
        <b/>
        <sz val="11"/>
        <color rgb="FFFF0000"/>
        <rFont val="Calibri"/>
        <family val="2"/>
        <scheme val="minor"/>
      </rPr>
      <t>(QuestionF)</t>
    </r>
  </si>
  <si>
    <r>
      <rPr>
        <b/>
        <sz val="11"/>
        <color theme="1"/>
        <rFont val="Calibri"/>
        <family val="2"/>
        <scheme val="minor"/>
      </rPr>
      <t xml:space="preserve">T-Test for Beta </t>
    </r>
    <r>
      <rPr>
        <b/>
        <sz val="11"/>
        <color rgb="FFFF0000"/>
        <rFont val="Calibri"/>
        <family val="2"/>
        <scheme val="minor"/>
      </rPr>
      <t>(Question G)</t>
    </r>
  </si>
  <si>
    <r>
      <t xml:space="preserve">Golden BETA </t>
    </r>
    <r>
      <rPr>
        <b/>
        <sz val="11"/>
        <color rgb="FFFF0000"/>
        <rFont val="Calibri"/>
        <family val="2"/>
        <scheme val="minor"/>
      </rPr>
      <t>(Question E)</t>
    </r>
  </si>
  <si>
    <t xml:space="preserve">(Its Inverse) Using LINEST to calcluale coefficient </t>
  </si>
  <si>
    <t xml:space="preserve">Using LINEST NO INCEPT  to calcluale coefficient </t>
  </si>
  <si>
    <t>SUM</t>
  </si>
  <si>
    <t>AVERAGE</t>
  </si>
  <si>
    <t xml:space="preserve">Using Regression  to calculate &amp; validate </t>
  </si>
  <si>
    <t>Tranposing  X'</t>
  </si>
  <si>
    <t>Multiply  Matrix X'X</t>
  </si>
  <si>
    <t>Inverse  Matrix (X'X)^1</t>
  </si>
  <si>
    <t xml:space="preserve">Neighborhood </t>
  </si>
  <si>
    <r>
      <t xml:space="preserve">House Estimate </t>
    </r>
    <r>
      <rPr>
        <b/>
        <sz val="11"/>
        <color rgb="FFFF0000"/>
        <rFont val="Calibri"/>
        <family val="2"/>
        <scheme val="minor"/>
      </rPr>
      <t>(Question H)</t>
    </r>
  </si>
  <si>
    <t xml:space="preserve">Predicticted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</si>
</sst>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3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2" fontId="0" fillId="0" borderId="0" xfId="0" applyNumberFormat="1"/>
    <xf numFmtId="43" fontId="0" fillId="0" borderId="0" xfId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1" applyNumberFormat="1" applyFont="1"/>
    <xf numFmtId="2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1" applyNumberFormat="1" applyFont="1" applyAlignment="1">
      <alignment horizontal="center"/>
    </xf>
    <xf numFmtId="43" fontId="1" fillId="0" borderId="0" xfId="0" applyNumberFormat="1" applyFont="1"/>
    <xf numFmtId="43" fontId="1" fillId="0" borderId="0" xfId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43" fontId="0" fillId="0" borderId="0" xfId="0" applyNumberFormat="1" applyAlignment="1">
      <alignment horizontal="center"/>
    </xf>
    <xf numFmtId="2" fontId="0" fillId="2" borderId="0" xfId="1" applyNumberFormat="1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43" fontId="1" fillId="0" borderId="4" xfId="1" applyFont="1" applyBorder="1"/>
    <xf numFmtId="43" fontId="1" fillId="0" borderId="5" xfId="1" applyFont="1" applyBorder="1"/>
    <xf numFmtId="43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43" fontId="1" fillId="0" borderId="3" xfId="0" applyNumberFormat="1" applyFont="1" applyBorder="1"/>
    <xf numFmtId="173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38</xdr:row>
      <xdr:rowOff>22860</xdr:rowOff>
    </xdr:from>
    <xdr:to>
      <xdr:col>4</xdr:col>
      <xdr:colOff>1257300</xdr:colOff>
      <xdr:row>39</xdr:row>
      <xdr:rowOff>60960</xdr:rowOff>
    </xdr:to>
    <xdr:sp macro="" textlink="">
      <xdr:nvSpPr>
        <xdr:cNvPr id="2" name="Right Arrow 1"/>
        <xdr:cNvSpPr/>
      </xdr:nvSpPr>
      <xdr:spPr>
        <a:xfrm>
          <a:off x="4716780" y="6972300"/>
          <a:ext cx="86868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838200</xdr:colOff>
      <xdr:row>35</xdr:row>
      <xdr:rowOff>7620</xdr:rowOff>
    </xdr:from>
    <xdr:to>
      <xdr:col>1</xdr:col>
      <xdr:colOff>1028700</xdr:colOff>
      <xdr:row>37</xdr:row>
      <xdr:rowOff>175260</xdr:rowOff>
    </xdr:to>
    <xdr:sp macro="" textlink="">
      <xdr:nvSpPr>
        <xdr:cNvPr id="3" name="Down Arrow 2"/>
        <xdr:cNvSpPr/>
      </xdr:nvSpPr>
      <xdr:spPr>
        <a:xfrm>
          <a:off x="1920240" y="6408420"/>
          <a:ext cx="190500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38</xdr:row>
      <xdr:rowOff>38100</xdr:rowOff>
    </xdr:from>
    <xdr:to>
      <xdr:col>9</xdr:col>
      <xdr:colOff>563880</xdr:colOff>
      <xdr:row>39</xdr:row>
      <xdr:rowOff>38100</xdr:rowOff>
    </xdr:to>
    <xdr:sp macro="" textlink="">
      <xdr:nvSpPr>
        <xdr:cNvPr id="4" name="Right Arrow 3"/>
        <xdr:cNvSpPr/>
      </xdr:nvSpPr>
      <xdr:spPr>
        <a:xfrm>
          <a:off x="12801600" y="6987540"/>
          <a:ext cx="563880" cy="1828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754380</xdr:colOff>
      <xdr:row>38</xdr:row>
      <xdr:rowOff>22860</xdr:rowOff>
    </xdr:from>
    <xdr:to>
      <xdr:col>12</xdr:col>
      <xdr:colOff>563880</xdr:colOff>
      <xdr:row>39</xdr:row>
      <xdr:rowOff>0</xdr:rowOff>
    </xdr:to>
    <xdr:sp macro="" textlink="">
      <xdr:nvSpPr>
        <xdr:cNvPr id="5" name="Right Arrow 4"/>
        <xdr:cNvSpPr/>
      </xdr:nvSpPr>
      <xdr:spPr>
        <a:xfrm>
          <a:off x="15849600" y="6972300"/>
          <a:ext cx="1158240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M28" sqref="M28"/>
    </sheetView>
  </sheetViews>
  <sheetFormatPr defaultRowHeight="14.4" x14ac:dyDescent="0.3"/>
  <cols>
    <col min="1" max="4" width="15.77734375" style="2" customWidth="1"/>
    <col min="5" max="5" width="16.33203125" bestFit="1" customWidth="1"/>
    <col min="6" max="7" width="16.33203125" customWidth="1"/>
    <col min="9" max="9" width="11.88671875" style="2" customWidth="1"/>
    <col min="10" max="10" width="12" bestFit="1" customWidth="1"/>
    <col min="11" max="12" width="16.33203125" bestFit="1" customWidth="1"/>
    <col min="13" max="13" width="26.109375" style="4" bestFit="1" customWidth="1"/>
    <col min="14" max="14" width="10.44140625" style="4" bestFit="1" customWidth="1"/>
    <col min="15" max="15" width="14.109375" bestFit="1" customWidth="1"/>
  </cols>
  <sheetData>
    <row r="1" spans="1:1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13</v>
      </c>
      <c r="G1" s="1" t="s">
        <v>14</v>
      </c>
      <c r="H1" s="1" t="s">
        <v>6</v>
      </c>
      <c r="I1" s="1" t="s">
        <v>0</v>
      </c>
      <c r="J1" s="1" t="s">
        <v>2</v>
      </c>
      <c r="K1" s="1" t="s">
        <v>7</v>
      </c>
      <c r="L1" s="1" t="s">
        <v>8</v>
      </c>
      <c r="M1" s="1" t="s">
        <v>10</v>
      </c>
      <c r="N1" s="3" t="s">
        <v>9</v>
      </c>
      <c r="O1" s="1" t="s">
        <v>12</v>
      </c>
    </row>
    <row r="2" spans="1:15" x14ac:dyDescent="0.3">
      <c r="A2" s="2">
        <v>1500</v>
      </c>
      <c r="C2" s="2">
        <v>2</v>
      </c>
      <c r="D2" s="2">
        <v>20</v>
      </c>
      <c r="E2" s="2">
        <f>IF(B2="Y",1,0)</f>
        <v>0</v>
      </c>
      <c r="F2" s="2">
        <f>IF(C2=1,1,0)</f>
        <v>0</v>
      </c>
      <c r="G2" s="2">
        <f>IF(C2=2,1,0)</f>
        <v>1</v>
      </c>
      <c r="H2">
        <v>150</v>
      </c>
      <c r="I2" s="2">
        <v>50000</v>
      </c>
      <c r="J2" s="2">
        <v>2000</v>
      </c>
      <c r="K2">
        <f>IF(C2=1,15,0)</f>
        <v>0</v>
      </c>
      <c r="L2">
        <f>IF(C2=2,-5,0)</f>
        <v>-5</v>
      </c>
      <c r="M2" s="4">
        <f>(A2*H$2)+(A2*L2)+E2*I$2-D2*J$2</f>
        <v>177500</v>
      </c>
      <c r="N2" s="4">
        <v>5201.7623046413</v>
      </c>
      <c r="O2" s="5">
        <f t="shared" ref="O2:O21" si="0">M2+N2</f>
        <v>182701.76230464131</v>
      </c>
    </row>
    <row r="3" spans="1:15" x14ac:dyDescent="0.3">
      <c r="A3" s="2">
        <v>2500</v>
      </c>
      <c r="C3" s="2">
        <v>2</v>
      </c>
      <c r="D3" s="2">
        <v>0</v>
      </c>
      <c r="E3" s="2">
        <f t="shared" ref="E3:E21" si="1">IF(B3="Y",1,0)</f>
        <v>0</v>
      </c>
      <c r="F3" s="12">
        <f t="shared" ref="F3:F21" si="2">IF(C3=1,1,0)</f>
        <v>0</v>
      </c>
      <c r="G3" s="12">
        <f t="shared" ref="G3:G21" si="3">IF(C3=2,1,0)</f>
        <v>1</v>
      </c>
      <c r="K3">
        <f t="shared" ref="K3:K21" si="4">IF(C3=1,15,0)</f>
        <v>0</v>
      </c>
      <c r="L3">
        <f t="shared" ref="L3:L21" si="5">IF(C3=2,-5,0)</f>
        <v>-5</v>
      </c>
      <c r="M3" s="4">
        <f t="shared" ref="M3:M16" si="6">(A3*H$2)+(A3*L3)+E3*I$2-D3*J$2</f>
        <v>362500</v>
      </c>
      <c r="N3" s="4">
        <v>3532.2574502788484</v>
      </c>
      <c r="O3" s="5">
        <f t="shared" si="0"/>
        <v>366032.25745027885</v>
      </c>
    </row>
    <row r="4" spans="1:15" x14ac:dyDescent="0.3">
      <c r="A4" s="2">
        <v>5000</v>
      </c>
      <c r="C4" s="2">
        <v>3</v>
      </c>
      <c r="D4" s="2">
        <v>14</v>
      </c>
      <c r="E4" s="2">
        <f t="shared" si="1"/>
        <v>0</v>
      </c>
      <c r="F4" s="12">
        <f t="shared" si="2"/>
        <v>0</v>
      </c>
      <c r="G4" s="12">
        <f t="shared" si="3"/>
        <v>0</v>
      </c>
      <c r="K4">
        <f t="shared" si="4"/>
        <v>0</v>
      </c>
      <c r="L4">
        <f t="shared" si="5"/>
        <v>0</v>
      </c>
      <c r="M4" s="4">
        <f t="shared" si="6"/>
        <v>722000</v>
      </c>
      <c r="N4" s="4">
        <v>3471.698745561298</v>
      </c>
      <c r="O4" s="5">
        <f t="shared" si="0"/>
        <v>725471.6987455613</v>
      </c>
    </row>
    <row r="5" spans="1:15" x14ac:dyDescent="0.3">
      <c r="A5" s="2">
        <v>4700</v>
      </c>
      <c r="B5" s="2" t="s">
        <v>4</v>
      </c>
      <c r="C5" s="2">
        <v>3</v>
      </c>
      <c r="D5" s="2">
        <v>12</v>
      </c>
      <c r="E5" s="2">
        <f t="shared" si="1"/>
        <v>1</v>
      </c>
      <c r="F5" s="12">
        <f t="shared" si="2"/>
        <v>0</v>
      </c>
      <c r="G5" s="12">
        <f t="shared" si="3"/>
        <v>0</v>
      </c>
      <c r="K5">
        <f t="shared" si="4"/>
        <v>0</v>
      </c>
      <c r="L5">
        <f t="shared" si="5"/>
        <v>0</v>
      </c>
      <c r="M5" s="4">
        <f t="shared" si="6"/>
        <v>731000</v>
      </c>
      <c r="N5" s="4">
        <v>8568.2387533597648</v>
      </c>
      <c r="O5" s="5">
        <f t="shared" si="0"/>
        <v>739568.23875335976</v>
      </c>
    </row>
    <row r="6" spans="1:15" x14ac:dyDescent="0.3">
      <c r="A6" s="2">
        <v>3500</v>
      </c>
      <c r="C6" s="2">
        <v>3</v>
      </c>
      <c r="D6" s="2">
        <v>5</v>
      </c>
      <c r="E6" s="2">
        <f t="shared" si="1"/>
        <v>0</v>
      </c>
      <c r="F6" s="12">
        <f t="shared" si="2"/>
        <v>0</v>
      </c>
      <c r="G6" s="12">
        <f t="shared" si="3"/>
        <v>0</v>
      </c>
      <c r="K6">
        <f t="shared" si="4"/>
        <v>0</v>
      </c>
      <c r="L6">
        <f t="shared" si="5"/>
        <v>0</v>
      </c>
      <c r="M6" s="4">
        <f t="shared" si="6"/>
        <v>515000</v>
      </c>
      <c r="N6" s="4">
        <v>4386.8800629570615</v>
      </c>
      <c r="O6" s="5">
        <f t="shared" si="0"/>
        <v>519386.88006295706</v>
      </c>
    </row>
    <row r="7" spans="1:15" x14ac:dyDescent="0.3">
      <c r="A7" s="2">
        <v>1000</v>
      </c>
      <c r="C7" s="2">
        <v>1</v>
      </c>
      <c r="D7" s="2">
        <v>25</v>
      </c>
      <c r="E7" s="2">
        <f t="shared" si="1"/>
        <v>0</v>
      </c>
      <c r="F7" s="12">
        <f t="shared" si="2"/>
        <v>1</v>
      </c>
      <c r="G7" s="12">
        <f t="shared" si="3"/>
        <v>0</v>
      </c>
      <c r="K7">
        <f>IF(C7=1,15,0)</f>
        <v>15</v>
      </c>
      <c r="L7">
        <f t="shared" si="5"/>
        <v>0</v>
      </c>
      <c r="M7" s="4">
        <f>(A7*H$2)+(A7*K7)+E7*I$2-D7*J$2</f>
        <v>115000</v>
      </c>
      <c r="N7" s="4">
        <v>4413.1258063134737</v>
      </c>
      <c r="O7" s="5">
        <f t="shared" si="0"/>
        <v>119413.12580631347</v>
      </c>
    </row>
    <row r="8" spans="1:15" x14ac:dyDescent="0.3">
      <c r="A8" s="2">
        <v>1500</v>
      </c>
      <c r="C8" s="2">
        <v>2</v>
      </c>
      <c r="D8" s="2">
        <v>4</v>
      </c>
      <c r="E8" s="2">
        <f t="shared" si="1"/>
        <v>0</v>
      </c>
      <c r="F8" s="12">
        <f t="shared" si="2"/>
        <v>0</v>
      </c>
      <c r="G8" s="12">
        <f t="shared" si="3"/>
        <v>1</v>
      </c>
      <c r="K8">
        <f t="shared" si="4"/>
        <v>0</v>
      </c>
      <c r="L8">
        <f t="shared" si="5"/>
        <v>-5</v>
      </c>
      <c r="M8" s="4">
        <f t="shared" si="6"/>
        <v>209500</v>
      </c>
      <c r="N8" s="4">
        <v>5480.165454064263</v>
      </c>
      <c r="O8" s="5">
        <f t="shared" si="0"/>
        <v>214980.16545406426</v>
      </c>
    </row>
    <row r="9" spans="1:15" x14ac:dyDescent="0.3">
      <c r="A9" s="2">
        <v>1600</v>
      </c>
      <c r="B9" s="2" t="s">
        <v>4</v>
      </c>
      <c r="C9" s="2">
        <v>3</v>
      </c>
      <c r="D9" s="2">
        <v>3</v>
      </c>
      <c r="E9" s="2">
        <f t="shared" si="1"/>
        <v>1</v>
      </c>
      <c r="F9" s="12">
        <f t="shared" si="2"/>
        <v>0</v>
      </c>
      <c r="G9" s="12">
        <f t="shared" si="3"/>
        <v>0</v>
      </c>
      <c r="K9">
        <f t="shared" si="4"/>
        <v>0</v>
      </c>
      <c r="L9">
        <f t="shared" si="5"/>
        <v>0</v>
      </c>
      <c r="M9" s="4">
        <f t="shared" si="6"/>
        <v>284000</v>
      </c>
      <c r="N9" s="4">
        <v>6778.3349903766066</v>
      </c>
      <c r="O9" s="5">
        <f t="shared" si="0"/>
        <v>290778.33499037661</v>
      </c>
    </row>
    <row r="10" spans="1:15" x14ac:dyDescent="0.3">
      <c r="A10" s="2">
        <v>2000</v>
      </c>
      <c r="C10" s="2">
        <v>1</v>
      </c>
      <c r="D10" s="2">
        <v>1</v>
      </c>
      <c r="E10" s="2">
        <f t="shared" si="1"/>
        <v>0</v>
      </c>
      <c r="F10" s="12">
        <f t="shared" si="2"/>
        <v>1</v>
      </c>
      <c r="G10" s="12">
        <f t="shared" si="3"/>
        <v>0</v>
      </c>
      <c r="K10">
        <f t="shared" si="4"/>
        <v>15</v>
      </c>
      <c r="L10">
        <f t="shared" si="5"/>
        <v>0</v>
      </c>
      <c r="M10" s="4">
        <f>(A10*H$2)+(A10*K10)+E10*I$2-D10*J$2</f>
        <v>328000</v>
      </c>
      <c r="N10" s="4">
        <v>5185.6233211583458</v>
      </c>
      <c r="O10" s="5">
        <f t="shared" si="0"/>
        <v>333185.62332115835</v>
      </c>
    </row>
    <row r="11" spans="1:15" x14ac:dyDescent="0.3">
      <c r="A11" s="2">
        <v>3000</v>
      </c>
      <c r="C11" s="2">
        <v>1</v>
      </c>
      <c r="D11" s="2">
        <v>0</v>
      </c>
      <c r="E11" s="2">
        <f t="shared" si="1"/>
        <v>0</v>
      </c>
      <c r="F11" s="12">
        <f t="shared" si="2"/>
        <v>1</v>
      </c>
      <c r="G11" s="12">
        <f t="shared" si="3"/>
        <v>0</v>
      </c>
      <c r="K11">
        <f t="shared" si="4"/>
        <v>15</v>
      </c>
      <c r="L11">
        <f t="shared" si="5"/>
        <v>0</v>
      </c>
      <c r="M11" s="4">
        <f>(A11*H$2)+(A11*K11)+E11*I$2-D11*J$2</f>
        <v>495000</v>
      </c>
      <c r="N11" s="4">
        <v>8372.5882531143725</v>
      </c>
      <c r="O11" s="5">
        <f t="shared" si="0"/>
        <v>503372.58825311437</v>
      </c>
    </row>
    <row r="12" spans="1:15" x14ac:dyDescent="0.3">
      <c r="A12" s="2">
        <v>3600</v>
      </c>
      <c r="C12" s="2">
        <v>2</v>
      </c>
      <c r="D12" s="2">
        <v>10</v>
      </c>
      <c r="E12" s="2">
        <f t="shared" si="1"/>
        <v>0</v>
      </c>
      <c r="F12" s="12">
        <f t="shared" si="2"/>
        <v>0</v>
      </c>
      <c r="G12" s="12">
        <f t="shared" si="3"/>
        <v>1</v>
      </c>
      <c r="K12">
        <f t="shared" si="4"/>
        <v>0</v>
      </c>
      <c r="L12">
        <f t="shared" si="5"/>
        <v>-5</v>
      </c>
      <c r="M12" s="4">
        <f t="shared" si="6"/>
        <v>502000</v>
      </c>
      <c r="N12" s="4">
        <v>3734.9838193040341</v>
      </c>
      <c r="O12" s="5">
        <f t="shared" si="0"/>
        <v>505734.98381930403</v>
      </c>
    </row>
    <row r="13" spans="1:15" x14ac:dyDescent="0.3">
      <c r="A13" s="2">
        <v>4100</v>
      </c>
      <c r="C13" s="2">
        <v>2</v>
      </c>
      <c r="D13" s="2">
        <v>35</v>
      </c>
      <c r="E13" s="2">
        <f t="shared" si="1"/>
        <v>0</v>
      </c>
      <c r="F13" s="12">
        <f t="shared" si="2"/>
        <v>0</v>
      </c>
      <c r="G13" s="12">
        <f t="shared" si="3"/>
        <v>1</v>
      </c>
      <c r="K13">
        <f t="shared" si="4"/>
        <v>0</v>
      </c>
      <c r="L13">
        <f t="shared" si="5"/>
        <v>-5</v>
      </c>
      <c r="M13" s="4">
        <f t="shared" si="6"/>
        <v>524500</v>
      </c>
      <c r="N13" s="4">
        <v>3088.9197104261257</v>
      </c>
      <c r="O13" s="5">
        <f t="shared" si="0"/>
        <v>527588.91971042613</v>
      </c>
    </row>
    <row r="14" spans="1:15" x14ac:dyDescent="0.3">
      <c r="A14" s="2">
        <v>4300</v>
      </c>
      <c r="B14" s="2" t="s">
        <v>4</v>
      </c>
      <c r="C14" s="2">
        <v>2</v>
      </c>
      <c r="D14" s="2">
        <v>22</v>
      </c>
      <c r="E14" s="2">
        <f t="shared" si="1"/>
        <v>1</v>
      </c>
      <c r="F14" s="12">
        <f t="shared" si="2"/>
        <v>0</v>
      </c>
      <c r="G14" s="12">
        <f t="shared" si="3"/>
        <v>1</v>
      </c>
      <c r="K14">
        <f t="shared" si="4"/>
        <v>0</v>
      </c>
      <c r="L14">
        <f t="shared" si="5"/>
        <v>-5</v>
      </c>
      <c r="M14" s="4">
        <f t="shared" si="6"/>
        <v>629500</v>
      </c>
      <c r="N14" s="4">
        <v>7525.2029445255175</v>
      </c>
      <c r="O14" s="5">
        <f t="shared" si="0"/>
        <v>637025.20294452552</v>
      </c>
    </row>
    <row r="15" spans="1:15" x14ac:dyDescent="0.3">
      <c r="A15" s="2">
        <v>6000</v>
      </c>
      <c r="C15" s="2">
        <v>1</v>
      </c>
      <c r="D15" s="2">
        <v>12</v>
      </c>
      <c r="E15" s="2">
        <f t="shared" si="1"/>
        <v>0</v>
      </c>
      <c r="F15" s="12">
        <f t="shared" si="2"/>
        <v>1</v>
      </c>
      <c r="G15" s="12">
        <f t="shared" si="3"/>
        <v>0</v>
      </c>
      <c r="K15">
        <f t="shared" si="4"/>
        <v>15</v>
      </c>
      <c r="L15">
        <f t="shared" si="5"/>
        <v>0</v>
      </c>
      <c r="M15" s="4">
        <f>(A15*H$2)+(A15*K15)+E15*I$2-D15*J$2</f>
        <v>966000</v>
      </c>
      <c r="N15" s="4">
        <v>1336.9009492453188</v>
      </c>
      <c r="O15" s="5">
        <f t="shared" si="0"/>
        <v>967336.90094924532</v>
      </c>
    </row>
    <row r="16" spans="1:15" x14ac:dyDescent="0.3">
      <c r="A16" s="2">
        <v>8000</v>
      </c>
      <c r="C16" s="2">
        <v>3</v>
      </c>
      <c r="D16" s="2">
        <v>28</v>
      </c>
      <c r="E16" s="2">
        <f t="shared" si="1"/>
        <v>0</v>
      </c>
      <c r="F16" s="12">
        <f t="shared" si="2"/>
        <v>0</v>
      </c>
      <c r="G16" s="12">
        <f t="shared" si="3"/>
        <v>0</v>
      </c>
      <c r="K16">
        <f t="shared" si="4"/>
        <v>0</v>
      </c>
      <c r="L16">
        <f t="shared" si="5"/>
        <v>0</v>
      </c>
      <c r="M16" s="4">
        <f t="shared" si="6"/>
        <v>1144000</v>
      </c>
      <c r="N16" s="4">
        <v>3373.9780873293057</v>
      </c>
      <c r="O16" s="5">
        <f t="shared" si="0"/>
        <v>1147373.9780873293</v>
      </c>
    </row>
    <row r="17" spans="1:15" x14ac:dyDescent="0.3">
      <c r="A17" s="2">
        <v>6700</v>
      </c>
      <c r="C17" s="2">
        <v>1</v>
      </c>
      <c r="D17" s="2">
        <v>6</v>
      </c>
      <c r="E17" s="2">
        <f t="shared" si="1"/>
        <v>0</v>
      </c>
      <c r="F17" s="12">
        <f t="shared" si="2"/>
        <v>1</v>
      </c>
      <c r="G17" s="12">
        <f t="shared" si="3"/>
        <v>0</v>
      </c>
      <c r="K17">
        <f t="shared" si="4"/>
        <v>15</v>
      </c>
      <c r="L17">
        <f t="shared" si="5"/>
        <v>0</v>
      </c>
      <c r="M17" s="4">
        <f>(A17*H$2)+(A17*K17)+E17*I$2-D17*J$2</f>
        <v>1093500</v>
      </c>
      <c r="N17" s="4">
        <v>6776.2931747711264</v>
      </c>
      <c r="O17" s="5">
        <f t="shared" si="0"/>
        <v>1100276.2931747711</v>
      </c>
    </row>
    <row r="18" spans="1:15" x14ac:dyDescent="0.3">
      <c r="A18" s="2">
        <v>1400</v>
      </c>
      <c r="C18" s="2">
        <v>1</v>
      </c>
      <c r="D18" s="2">
        <v>4</v>
      </c>
      <c r="E18" s="2">
        <f t="shared" si="1"/>
        <v>0</v>
      </c>
      <c r="F18" s="12">
        <f t="shared" si="2"/>
        <v>1</v>
      </c>
      <c r="G18" s="12">
        <f t="shared" si="3"/>
        <v>0</v>
      </c>
      <c r="K18">
        <f t="shared" si="4"/>
        <v>15</v>
      </c>
      <c r="L18">
        <f t="shared" si="5"/>
        <v>0</v>
      </c>
      <c r="M18" s="4">
        <f t="shared" ref="M18:M21" si="7">(A18*H$2)+(A18*K18)+E18*I$2-D18*J$2</f>
        <v>223000</v>
      </c>
      <c r="N18" s="4">
        <v>4802.8511072334368</v>
      </c>
      <c r="O18" s="5">
        <f t="shared" si="0"/>
        <v>227802.85110723344</v>
      </c>
    </row>
    <row r="19" spans="1:15" x14ac:dyDescent="0.3">
      <c r="A19" s="2">
        <v>1800</v>
      </c>
      <c r="B19" s="2" t="s">
        <v>4</v>
      </c>
      <c r="C19" s="2">
        <v>1</v>
      </c>
      <c r="D19" s="2">
        <v>9</v>
      </c>
      <c r="E19" s="2">
        <f t="shared" si="1"/>
        <v>1</v>
      </c>
      <c r="F19" s="12">
        <f t="shared" si="2"/>
        <v>1</v>
      </c>
      <c r="G19" s="12">
        <f t="shared" si="3"/>
        <v>0</v>
      </c>
      <c r="K19">
        <f t="shared" si="4"/>
        <v>15</v>
      </c>
      <c r="L19">
        <f t="shared" si="5"/>
        <v>0</v>
      </c>
      <c r="M19" s="4">
        <f t="shared" si="7"/>
        <v>329000</v>
      </c>
      <c r="N19" s="4">
        <v>2313.5800246382132</v>
      </c>
      <c r="O19" s="5">
        <f t="shared" si="0"/>
        <v>331313.58002463821</v>
      </c>
    </row>
    <row r="20" spans="1:15" x14ac:dyDescent="0.3">
      <c r="A20" s="2">
        <v>2200</v>
      </c>
      <c r="C20" s="2">
        <v>1</v>
      </c>
      <c r="D20" s="2">
        <v>11</v>
      </c>
      <c r="E20" s="2">
        <f t="shared" si="1"/>
        <v>0</v>
      </c>
      <c r="F20" s="12">
        <f t="shared" si="2"/>
        <v>1</v>
      </c>
      <c r="G20" s="12">
        <f t="shared" si="3"/>
        <v>0</v>
      </c>
      <c r="K20">
        <f t="shared" si="4"/>
        <v>15</v>
      </c>
      <c r="L20">
        <f t="shared" si="5"/>
        <v>0</v>
      </c>
      <c r="M20" s="4">
        <f t="shared" si="7"/>
        <v>341000</v>
      </c>
      <c r="N20" s="4">
        <v>2535.4239722946659</v>
      </c>
      <c r="O20" s="5">
        <f t="shared" si="0"/>
        <v>343535.42397229467</v>
      </c>
    </row>
    <row r="21" spans="1:15" x14ac:dyDescent="0.3">
      <c r="A21" s="2">
        <v>2800</v>
      </c>
      <c r="C21" s="2">
        <v>1</v>
      </c>
      <c r="D21" s="2">
        <v>0</v>
      </c>
      <c r="E21" s="2">
        <f t="shared" si="1"/>
        <v>0</v>
      </c>
      <c r="F21" s="12">
        <f t="shared" si="2"/>
        <v>1</v>
      </c>
      <c r="G21" s="12">
        <f t="shared" si="3"/>
        <v>0</v>
      </c>
      <c r="K21">
        <f t="shared" si="4"/>
        <v>15</v>
      </c>
      <c r="L21">
        <f t="shared" si="5"/>
        <v>0</v>
      </c>
      <c r="M21" s="4">
        <f t="shared" si="7"/>
        <v>462000</v>
      </c>
      <c r="N21" s="4">
        <v>8491.9685276690871</v>
      </c>
      <c r="O21" s="5">
        <f t="shared" si="0"/>
        <v>470491.96852766909</v>
      </c>
    </row>
    <row r="23" spans="1:15" x14ac:dyDescent="0.3">
      <c r="L23" s="6" t="s">
        <v>66</v>
      </c>
      <c r="M23" s="35">
        <f>SUM(M2:M21)</f>
        <v>10154000</v>
      </c>
      <c r="N23" s="35">
        <f>SUM(N2:N21)</f>
        <v>99370.777459262172</v>
      </c>
      <c r="O23" s="35">
        <f>SUM(O2:O21)</f>
        <v>10253370.777459262</v>
      </c>
    </row>
    <row r="24" spans="1:15" ht="15" thickBot="1" x14ac:dyDescent="0.35">
      <c r="L24" s="6" t="s">
        <v>67</v>
      </c>
      <c r="M24" s="36">
        <f>M23/20</f>
        <v>507700</v>
      </c>
      <c r="N24" s="36">
        <f>N23/20</f>
        <v>4968.5388729631086</v>
      </c>
      <c r="O24" s="36">
        <f>O23/20</f>
        <v>512668.53887296311</v>
      </c>
    </row>
    <row r="25" spans="1:15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39" sqref="D39"/>
    </sheetView>
  </sheetViews>
  <sheetFormatPr defaultRowHeight="14.4" x14ac:dyDescent="0.3"/>
  <cols>
    <col min="1" max="1" width="15.77734375" style="2" customWidth="1"/>
    <col min="2" max="2" width="22.33203125" style="2" customWidth="1"/>
    <col min="3" max="3" width="19.6640625" style="2" bestFit="1" customWidth="1"/>
    <col min="4" max="4" width="18.21875" style="2" bestFit="1" customWidth="1"/>
    <col min="5" max="5" width="19" style="2" bestFit="1" customWidth="1"/>
    <col min="6" max="6" width="12.5546875" style="2" customWidth="1"/>
    <col min="7" max="7" width="18.88671875" style="4" customWidth="1"/>
    <col min="8" max="8" width="21.5546875" style="4" customWidth="1"/>
    <col min="9" max="9" width="14.77734375" bestFit="1" customWidth="1"/>
    <col min="10" max="10" width="14.6640625" bestFit="1" customWidth="1"/>
    <col min="11" max="11" width="13.33203125" bestFit="1" customWidth="1"/>
    <col min="12" max="12" width="13.6640625" bestFit="1" customWidth="1"/>
    <col min="13" max="13" width="19.6640625" bestFit="1" customWidth="1"/>
  </cols>
  <sheetData>
    <row r="1" spans="1:13" x14ac:dyDescent="0.3">
      <c r="A1" s="1" t="s">
        <v>3</v>
      </c>
      <c r="B1" s="1" t="s">
        <v>2</v>
      </c>
      <c r="C1" s="1" t="s">
        <v>13</v>
      </c>
      <c r="D1" s="1" t="s">
        <v>14</v>
      </c>
      <c r="E1" s="1" t="s">
        <v>18</v>
      </c>
      <c r="F1" s="1" t="s">
        <v>15</v>
      </c>
      <c r="G1" s="1" t="s">
        <v>3</v>
      </c>
      <c r="H1" s="1" t="s">
        <v>2</v>
      </c>
      <c r="I1" s="1" t="s">
        <v>13</v>
      </c>
      <c r="J1" s="1" t="s">
        <v>14</v>
      </c>
      <c r="K1" s="1" t="s">
        <v>16</v>
      </c>
      <c r="L1" s="1" t="s">
        <v>11</v>
      </c>
      <c r="M1" s="1" t="s">
        <v>17</v>
      </c>
    </row>
    <row r="2" spans="1:13" x14ac:dyDescent="0.3">
      <c r="A2" s="2">
        <v>1500</v>
      </c>
      <c r="B2" s="2">
        <v>20</v>
      </c>
      <c r="C2" s="2">
        <v>0</v>
      </c>
      <c r="D2" s="2">
        <v>1</v>
      </c>
      <c r="E2" s="10">
        <v>182701.76230464131</v>
      </c>
      <c r="F2" s="10">
        <v>6172.2474716861298</v>
      </c>
      <c r="G2" s="4">
        <v>156.46840326626361</v>
      </c>
      <c r="H2" s="4">
        <v>-2834.8661482202724</v>
      </c>
      <c r="I2" s="4">
        <v>36105.442011972234</v>
      </c>
      <c r="J2" s="5">
        <v>-13865.738469740896</v>
      </c>
      <c r="K2" s="5">
        <f>($G$2*A2)+(B2*$H$2)+(C2*$I$2)+(D2*$J$2)+$F$2</f>
        <v>170311.7909369352</v>
      </c>
      <c r="L2" s="5">
        <f>E2-K2</f>
        <v>12389.971367706108</v>
      </c>
      <c r="M2" s="5">
        <f>L2^2</f>
        <v>153511390.49257717</v>
      </c>
    </row>
    <row r="3" spans="1:13" x14ac:dyDescent="0.3">
      <c r="A3" s="2">
        <v>2500</v>
      </c>
      <c r="B3" s="2">
        <v>0</v>
      </c>
      <c r="C3" s="2">
        <v>0</v>
      </c>
      <c r="D3" s="2">
        <v>1</v>
      </c>
      <c r="E3" s="10">
        <v>366032.25745027885</v>
      </c>
      <c r="I3" s="4"/>
      <c r="J3" s="4"/>
      <c r="K3" s="5">
        <f t="shared" ref="K3:K21" si="0">($G$2*A3)+(B3*$H$2)+(C3*$I$2)+(D3*$J$2)+$F$2</f>
        <v>383477.51716760424</v>
      </c>
      <c r="L3" s="5">
        <f>E3-K3</f>
        <v>-17445.259717325389</v>
      </c>
      <c r="M3" s="5">
        <f t="shared" ref="M3:M21" si="1">L3^2</f>
        <v>304337086.60493588</v>
      </c>
    </row>
    <row r="4" spans="1:13" x14ac:dyDescent="0.3">
      <c r="A4" s="2">
        <v>5000</v>
      </c>
      <c r="B4" s="2">
        <v>14</v>
      </c>
      <c r="C4" s="2">
        <v>0</v>
      </c>
      <c r="D4" s="2">
        <v>0</v>
      </c>
      <c r="E4" s="10">
        <v>725471.6987455613</v>
      </c>
      <c r="I4" s="5"/>
      <c r="J4" s="5"/>
      <c r="K4" s="5">
        <f t="shared" si="0"/>
        <v>748826.13772792032</v>
      </c>
      <c r="L4" s="5">
        <f t="shared" ref="L4:L21" si="2">E4-K4</f>
        <v>-23354.438982359017</v>
      </c>
      <c r="M4" s="5">
        <f t="shared" si="1"/>
        <v>545429820.18073046</v>
      </c>
    </row>
    <row r="5" spans="1:13" x14ac:dyDescent="0.3">
      <c r="A5" s="2">
        <v>4700</v>
      </c>
      <c r="B5" s="2">
        <v>12</v>
      </c>
      <c r="C5" s="2">
        <v>0</v>
      </c>
      <c r="D5" s="2">
        <v>0</v>
      </c>
      <c r="E5" s="10">
        <v>739568.23875335976</v>
      </c>
      <c r="I5" s="5"/>
      <c r="J5" s="5"/>
      <c r="K5" s="5">
        <f t="shared" si="0"/>
        <v>707555.34904448187</v>
      </c>
      <c r="L5" s="5">
        <f t="shared" si="2"/>
        <v>32012.88970887789</v>
      </c>
      <c r="M5" s="5">
        <f t="shared" si="1"/>
        <v>1024825107.51278</v>
      </c>
    </row>
    <row r="6" spans="1:13" x14ac:dyDescent="0.3">
      <c r="A6" s="2">
        <v>3500</v>
      </c>
      <c r="B6" s="2">
        <v>5</v>
      </c>
      <c r="C6" s="2">
        <v>0</v>
      </c>
      <c r="D6" s="2">
        <v>0</v>
      </c>
      <c r="E6" s="10">
        <v>519386.88006295706</v>
      </c>
      <c r="I6" s="5"/>
      <c r="J6" s="5"/>
      <c r="K6" s="5">
        <f t="shared" si="0"/>
        <v>539637.32816250727</v>
      </c>
      <c r="L6" s="5">
        <f t="shared" si="2"/>
        <v>-20250.448099550209</v>
      </c>
      <c r="M6" s="5">
        <f t="shared" si="1"/>
        <v>410080648.23257667</v>
      </c>
    </row>
    <row r="7" spans="1:13" x14ac:dyDescent="0.3">
      <c r="A7" s="2">
        <v>1000</v>
      </c>
      <c r="B7" s="2">
        <v>25</v>
      </c>
      <c r="C7" s="2">
        <v>1</v>
      </c>
      <c r="D7" s="2">
        <v>0</v>
      </c>
      <c r="E7" s="10">
        <v>119413.12580631347</v>
      </c>
      <c r="I7" s="5"/>
      <c r="J7" s="5"/>
      <c r="K7" s="5">
        <f t="shared" si="0"/>
        <v>127874.43904441516</v>
      </c>
      <c r="L7" s="5">
        <f t="shared" si="2"/>
        <v>-8461.3132381016912</v>
      </c>
      <c r="M7" s="5">
        <f t="shared" si="1"/>
        <v>71593821.713274926</v>
      </c>
    </row>
    <row r="8" spans="1:13" x14ac:dyDescent="0.3">
      <c r="A8" s="2">
        <v>1500</v>
      </c>
      <c r="B8" s="2">
        <v>4</v>
      </c>
      <c r="C8" s="2">
        <v>0</v>
      </c>
      <c r="D8" s="2">
        <v>1</v>
      </c>
      <c r="E8" s="10">
        <v>214980.16545406426</v>
      </c>
      <c r="I8" s="5"/>
      <c r="J8" s="5"/>
      <c r="K8" s="5">
        <f t="shared" si="0"/>
        <v>215669.64930845954</v>
      </c>
      <c r="L8" s="5">
        <f t="shared" si="2"/>
        <v>-689.4838543952792</v>
      </c>
      <c r="M8" s="5">
        <f t="shared" si="1"/>
        <v>475387.98547177057</v>
      </c>
    </row>
    <row r="9" spans="1:13" x14ac:dyDescent="0.3">
      <c r="A9" s="2">
        <v>1600</v>
      </c>
      <c r="B9" s="2">
        <v>3</v>
      </c>
      <c r="C9" s="2">
        <v>0</v>
      </c>
      <c r="D9" s="2">
        <v>0</v>
      </c>
      <c r="E9" s="10">
        <v>290778.33499037661</v>
      </c>
      <c r="I9" s="5"/>
      <c r="J9" s="5"/>
      <c r="K9" s="5">
        <f t="shared" si="0"/>
        <v>248017.09425304711</v>
      </c>
      <c r="L9" s="5">
        <f t="shared" si="2"/>
        <v>42761.240737329499</v>
      </c>
      <c r="M9" s="5">
        <f t="shared" si="1"/>
        <v>1828523709.3958478</v>
      </c>
    </row>
    <row r="10" spans="1:13" x14ac:dyDescent="0.3">
      <c r="A10" s="2">
        <v>2000</v>
      </c>
      <c r="B10" s="2">
        <v>1</v>
      </c>
      <c r="C10" s="2">
        <v>1</v>
      </c>
      <c r="D10" s="2">
        <v>0</v>
      </c>
      <c r="E10" s="10">
        <v>333185.62332115835</v>
      </c>
      <c r="I10" s="5"/>
      <c r="J10" s="5"/>
      <c r="K10" s="5">
        <f t="shared" si="0"/>
        <v>352379.6298679653</v>
      </c>
      <c r="L10" s="5">
        <f t="shared" si="2"/>
        <v>-19194.006546806952</v>
      </c>
      <c r="M10" s="5">
        <f t="shared" si="1"/>
        <v>368409887.3188681</v>
      </c>
    </row>
    <row r="11" spans="1:13" x14ac:dyDescent="0.3">
      <c r="A11" s="2">
        <v>3000</v>
      </c>
      <c r="B11" s="2">
        <v>0</v>
      </c>
      <c r="C11" s="2">
        <v>1</v>
      </c>
      <c r="D11" s="2">
        <v>0</v>
      </c>
      <c r="E11" s="10">
        <v>503372.58825311437</v>
      </c>
      <c r="I11" s="5"/>
      <c r="J11" s="5"/>
      <c r="K11" s="5">
        <f t="shared" si="0"/>
        <v>511682.89928244916</v>
      </c>
      <c r="L11" s="5">
        <f t="shared" si="2"/>
        <v>-8310.3110293347854</v>
      </c>
      <c r="M11" s="5">
        <f t="shared" si="1"/>
        <v>69061269.404283375</v>
      </c>
    </row>
    <row r="12" spans="1:13" x14ac:dyDescent="0.3">
      <c r="A12" s="2">
        <v>3600</v>
      </c>
      <c r="B12" s="2">
        <v>10</v>
      </c>
      <c r="C12" s="2">
        <v>0</v>
      </c>
      <c r="D12" s="2">
        <v>1</v>
      </c>
      <c r="E12" s="10">
        <v>505734.98381930403</v>
      </c>
      <c r="I12" s="5"/>
      <c r="J12" s="5"/>
      <c r="K12" s="5">
        <f t="shared" si="0"/>
        <v>527244.09927829157</v>
      </c>
      <c r="L12" s="5">
        <f t="shared" si="2"/>
        <v>-21509.115458987537</v>
      </c>
      <c r="M12" s="5">
        <f t="shared" si="1"/>
        <v>462642047.82805663</v>
      </c>
    </row>
    <row r="13" spans="1:13" x14ac:dyDescent="0.3">
      <c r="A13" s="2">
        <v>4100</v>
      </c>
      <c r="B13" s="2">
        <v>35</v>
      </c>
      <c r="C13" s="2">
        <v>0</v>
      </c>
      <c r="D13" s="2">
        <v>1</v>
      </c>
      <c r="E13" s="10">
        <v>527588.91971042613</v>
      </c>
      <c r="I13" s="5"/>
      <c r="J13" s="5"/>
      <c r="K13" s="5">
        <f t="shared" si="0"/>
        <v>534606.64720591658</v>
      </c>
      <c r="L13" s="5">
        <f t="shared" si="2"/>
        <v>-7017.7274954904569</v>
      </c>
      <c r="M13" s="5">
        <f t="shared" si="1"/>
        <v>49248499.20096276</v>
      </c>
    </row>
    <row r="14" spans="1:13" x14ac:dyDescent="0.3">
      <c r="A14" s="2">
        <v>4300</v>
      </c>
      <c r="B14" s="2">
        <v>22</v>
      </c>
      <c r="C14" s="2">
        <v>0</v>
      </c>
      <c r="D14" s="2">
        <v>1</v>
      </c>
      <c r="E14" s="10">
        <v>637025.20294452552</v>
      </c>
      <c r="I14" s="5"/>
      <c r="J14" s="5"/>
      <c r="K14" s="5">
        <f t="shared" si="0"/>
        <v>602753.5877860327</v>
      </c>
      <c r="L14" s="5">
        <f t="shared" si="2"/>
        <v>34271.615158492816</v>
      </c>
      <c r="M14" s="5">
        <f t="shared" si="1"/>
        <v>1174543605.5718346</v>
      </c>
    </row>
    <row r="15" spans="1:13" x14ac:dyDescent="0.3">
      <c r="A15" s="2">
        <v>6000</v>
      </c>
      <c r="B15" s="2">
        <v>12</v>
      </c>
      <c r="C15" s="2">
        <v>1</v>
      </c>
      <c r="D15" s="2">
        <v>0</v>
      </c>
      <c r="E15" s="10">
        <v>967336.90094924532</v>
      </c>
      <c r="I15" s="5"/>
      <c r="J15" s="5"/>
      <c r="K15" s="5">
        <f t="shared" si="0"/>
        <v>947069.71530259668</v>
      </c>
      <c r="L15" s="5">
        <f t="shared" si="2"/>
        <v>20267.185646648635</v>
      </c>
      <c r="M15" s="5">
        <f t="shared" si="1"/>
        <v>410758814.03572047</v>
      </c>
    </row>
    <row r="16" spans="1:13" x14ac:dyDescent="0.3">
      <c r="A16" s="2">
        <v>8000</v>
      </c>
      <c r="B16" s="2">
        <v>28</v>
      </c>
      <c r="C16" s="2">
        <v>0</v>
      </c>
      <c r="D16" s="2">
        <v>0</v>
      </c>
      <c r="E16" s="10">
        <v>1147373.9780873293</v>
      </c>
      <c r="I16" s="5"/>
      <c r="J16" s="5"/>
      <c r="K16" s="5">
        <f t="shared" si="0"/>
        <v>1178543.2214516273</v>
      </c>
      <c r="L16" s="5">
        <f t="shared" si="2"/>
        <v>-31169.243364298018</v>
      </c>
      <c r="M16" s="5">
        <f t="shared" si="1"/>
        <v>971521731.90283597</v>
      </c>
    </row>
    <row r="17" spans="1:13" x14ac:dyDescent="0.3">
      <c r="A17" s="2">
        <v>6700</v>
      </c>
      <c r="B17" s="2">
        <v>6</v>
      </c>
      <c r="C17" s="2">
        <v>1</v>
      </c>
      <c r="D17" s="2">
        <v>0</v>
      </c>
      <c r="E17" s="10">
        <v>1100276.2931747711</v>
      </c>
      <c r="I17" s="5"/>
      <c r="J17" s="5"/>
      <c r="K17" s="5">
        <f t="shared" si="0"/>
        <v>1073606.7944783031</v>
      </c>
      <c r="L17" s="5">
        <f t="shared" si="2"/>
        <v>26669.498696468072</v>
      </c>
      <c r="M17" s="5">
        <f t="shared" si="1"/>
        <v>711262160.72091222</v>
      </c>
    </row>
    <row r="18" spans="1:13" x14ac:dyDescent="0.3">
      <c r="A18" s="2">
        <v>1400</v>
      </c>
      <c r="B18" s="2">
        <v>4</v>
      </c>
      <c r="C18" s="2">
        <v>1</v>
      </c>
      <c r="D18" s="2">
        <v>0</v>
      </c>
      <c r="E18" s="10">
        <v>227802.85110723344</v>
      </c>
      <c r="I18" s="5"/>
      <c r="J18" s="5"/>
      <c r="K18" s="5">
        <f t="shared" si="0"/>
        <v>249993.98946354634</v>
      </c>
      <c r="L18" s="5">
        <f t="shared" si="2"/>
        <v>-22191.138356312906</v>
      </c>
      <c r="M18" s="5">
        <f t="shared" si="1"/>
        <v>492446621.54902184</v>
      </c>
    </row>
    <row r="19" spans="1:13" x14ac:dyDescent="0.3">
      <c r="A19" s="2">
        <v>1800</v>
      </c>
      <c r="B19" s="2">
        <v>9</v>
      </c>
      <c r="C19" s="2">
        <v>1</v>
      </c>
      <c r="D19" s="2">
        <v>0</v>
      </c>
      <c r="E19" s="10">
        <v>331313.58002463821</v>
      </c>
      <c r="I19" s="5"/>
      <c r="J19" s="5"/>
      <c r="K19" s="5">
        <f t="shared" si="0"/>
        <v>298407.02002895041</v>
      </c>
      <c r="L19" s="5">
        <f t="shared" si="2"/>
        <v>32906.5599956878</v>
      </c>
      <c r="M19" s="5">
        <f t="shared" si="1"/>
        <v>1082841690.7498007</v>
      </c>
    </row>
    <row r="20" spans="1:13" x14ac:dyDescent="0.3">
      <c r="A20" s="2">
        <v>2200</v>
      </c>
      <c r="B20" s="2">
        <v>11</v>
      </c>
      <c r="C20" s="2">
        <v>1</v>
      </c>
      <c r="D20" s="2">
        <v>0</v>
      </c>
      <c r="E20" s="10">
        <v>343535.42397229467</v>
      </c>
      <c r="I20" s="5"/>
      <c r="J20" s="5"/>
      <c r="K20" s="5">
        <f t="shared" si="0"/>
        <v>355324.64903901529</v>
      </c>
      <c r="L20" s="5">
        <f t="shared" si="2"/>
        <v>-11789.225066720624</v>
      </c>
      <c r="M20" s="5">
        <f t="shared" si="1"/>
        <v>138985827.67379391</v>
      </c>
    </row>
    <row r="21" spans="1:13" x14ac:dyDescent="0.3">
      <c r="A21" s="2">
        <v>2800</v>
      </c>
      <c r="B21" s="2">
        <v>0</v>
      </c>
      <c r="C21" s="2">
        <v>1</v>
      </c>
      <c r="D21" s="2">
        <v>0</v>
      </c>
      <c r="E21" s="10">
        <v>470491.96852766909</v>
      </c>
      <c r="I21" s="5"/>
      <c r="J21" s="5"/>
      <c r="K21" s="5">
        <f t="shared" si="0"/>
        <v>480389.21862919646</v>
      </c>
      <c r="L21" s="5">
        <f t="shared" si="2"/>
        <v>-9897.2501015273738</v>
      </c>
      <c r="M21" s="5">
        <f t="shared" si="1"/>
        <v>97955559.572183609</v>
      </c>
    </row>
    <row r="23" spans="1:13" x14ac:dyDescent="0.3">
      <c r="I23" s="4"/>
      <c r="J23" s="5"/>
      <c r="K23" s="5">
        <f>SUM(K2:K22)</f>
        <v>10253370.777459262</v>
      </c>
      <c r="L23" s="5">
        <f>SUM(L2:L22)</f>
        <v>5.8207660913467407E-10</v>
      </c>
      <c r="M23" s="5">
        <f>SUM(M2:M22)</f>
        <v>10368454687.646467</v>
      </c>
    </row>
    <row r="24" spans="1:13" x14ac:dyDescent="0.3">
      <c r="I24" s="4"/>
    </row>
    <row r="26" spans="1:13" x14ac:dyDescent="0.3">
      <c r="K26" s="6" t="s">
        <v>19</v>
      </c>
      <c r="L26" s="37">
        <f>AVERAGE(L2:L21)</f>
        <v>2.9103830456733704E-11</v>
      </c>
    </row>
    <row r="27" spans="1:13" ht="15" thickBot="1" x14ac:dyDescent="0.35">
      <c r="A27" s="29" t="s">
        <v>64</v>
      </c>
      <c r="B27" s="28"/>
      <c r="C27" s="28"/>
      <c r="D27" s="28"/>
      <c r="E27" s="28"/>
      <c r="K27" s="11" t="s">
        <v>20</v>
      </c>
      <c r="L27" s="36">
        <f>STDEV(L2:L21)</f>
        <v>23360.396859965313</v>
      </c>
    </row>
    <row r="28" spans="1:13" ht="15" thickTop="1" x14ac:dyDescent="0.3">
      <c r="A28" s="19">
        <f t="array" ref="A28:E28">LINEST(E2:E21,A2:D21)</f>
        <v>-13865.738469740896</v>
      </c>
      <c r="B28" s="19">
        <v>36105.442011972234</v>
      </c>
      <c r="C28" s="19">
        <v>-2834.8661482202724</v>
      </c>
      <c r="D28" s="19">
        <v>156.46840326626361</v>
      </c>
      <c r="E28" s="19">
        <v>6172.2474716861298</v>
      </c>
      <c r="K28" s="8"/>
    </row>
    <row r="29" spans="1:13" x14ac:dyDescent="0.3">
      <c r="A29" t="s">
        <v>22</v>
      </c>
      <c r="B29"/>
      <c r="C29"/>
      <c r="D29"/>
      <c r="E29"/>
      <c r="K29" s="8"/>
    </row>
    <row r="30" spans="1:13" x14ac:dyDescent="0.3">
      <c r="A30" s="14"/>
      <c r="B30" s="14"/>
      <c r="C30" s="18"/>
      <c r="D30"/>
      <c r="E30"/>
      <c r="F30"/>
      <c r="G30"/>
      <c r="H30"/>
    </row>
    <row r="31" spans="1:13" x14ac:dyDescent="0.3">
      <c r="A31" s="38" t="s">
        <v>68</v>
      </c>
      <c r="B31" s="38"/>
      <c r="C31" s="18"/>
      <c r="D31"/>
      <c r="E31"/>
      <c r="F31"/>
      <c r="G31"/>
      <c r="H31"/>
    </row>
    <row r="32" spans="1:13" x14ac:dyDescent="0.3">
      <c r="A32" t="s">
        <v>22</v>
      </c>
      <c r="B32"/>
      <c r="C32"/>
      <c r="D32"/>
      <c r="E32"/>
      <c r="F32"/>
      <c r="G32"/>
      <c r="H32"/>
    </row>
    <row r="33" spans="1:9" ht="15" thickBot="1" x14ac:dyDescent="0.35">
      <c r="A33"/>
      <c r="B33"/>
      <c r="C33"/>
      <c r="D33"/>
      <c r="E33"/>
      <c r="F33"/>
      <c r="G33"/>
      <c r="H33"/>
    </row>
    <row r="34" spans="1:9" x14ac:dyDescent="0.3">
      <c r="A34" s="17" t="s">
        <v>23</v>
      </c>
      <c r="B34" s="17"/>
      <c r="C34"/>
      <c r="D34"/>
      <c r="E34"/>
      <c r="F34"/>
      <c r="G34"/>
      <c r="H34"/>
    </row>
    <row r="35" spans="1:9" x14ac:dyDescent="0.3">
      <c r="A35" s="14" t="s">
        <v>24</v>
      </c>
      <c r="B35" s="14">
        <v>0.99688525988941912</v>
      </c>
      <c r="C35"/>
      <c r="D35"/>
      <c r="E35"/>
      <c r="F35"/>
      <c r="G35"/>
      <c r="H35"/>
    </row>
    <row r="36" spans="1:9" x14ac:dyDescent="0.3">
      <c r="A36" s="14" t="s">
        <v>25</v>
      </c>
      <c r="B36" s="14">
        <v>0.9937802213847946</v>
      </c>
      <c r="C36"/>
      <c r="D36"/>
      <c r="E36"/>
      <c r="F36"/>
      <c r="G36"/>
      <c r="H36"/>
    </row>
    <row r="37" spans="1:9" x14ac:dyDescent="0.3">
      <c r="A37" s="14" t="s">
        <v>26</v>
      </c>
      <c r="B37" s="14">
        <v>0.99212161375407315</v>
      </c>
      <c r="C37"/>
      <c r="D37"/>
      <c r="E37"/>
      <c r="F37"/>
      <c r="G37"/>
      <c r="H37"/>
    </row>
    <row r="38" spans="1:9" x14ac:dyDescent="0.3">
      <c r="A38" s="14" t="s">
        <v>27</v>
      </c>
      <c r="B38" s="14">
        <v>26291.259241614236</v>
      </c>
      <c r="C38"/>
      <c r="D38"/>
      <c r="E38"/>
      <c r="F38"/>
      <c r="G38"/>
      <c r="H38"/>
    </row>
    <row r="39" spans="1:9" ht="15" thickBot="1" x14ac:dyDescent="0.35">
      <c r="A39" s="15" t="s">
        <v>28</v>
      </c>
      <c r="B39" s="15">
        <v>20</v>
      </c>
      <c r="C39"/>
      <c r="D39"/>
      <c r="E39"/>
      <c r="F39"/>
      <c r="G39"/>
      <c r="H39"/>
    </row>
    <row r="40" spans="1:9" x14ac:dyDescent="0.3">
      <c r="A40"/>
      <c r="B40"/>
      <c r="C40"/>
      <c r="D40"/>
      <c r="E40"/>
      <c r="F40"/>
      <c r="G40"/>
      <c r="H40"/>
    </row>
    <row r="41" spans="1:9" ht="15" thickBot="1" x14ac:dyDescent="0.35">
      <c r="A41" t="s">
        <v>29</v>
      </c>
      <c r="B41"/>
      <c r="C41"/>
      <c r="D41"/>
      <c r="E41"/>
      <c r="F41"/>
      <c r="G41"/>
      <c r="H41"/>
    </row>
    <row r="42" spans="1:9" x14ac:dyDescent="0.3">
      <c r="A42" s="16"/>
      <c r="B42" s="16" t="s">
        <v>33</v>
      </c>
      <c r="C42" s="16" t="s">
        <v>34</v>
      </c>
      <c r="D42" s="16" t="s">
        <v>35</v>
      </c>
      <c r="E42" s="16" t="s">
        <v>36</v>
      </c>
      <c r="F42" s="16" t="s">
        <v>37</v>
      </c>
      <c r="G42"/>
      <c r="H42"/>
    </row>
    <row r="43" spans="1:9" x14ac:dyDescent="0.3">
      <c r="A43" s="14" t="s">
        <v>30</v>
      </c>
      <c r="B43" s="14">
        <v>4</v>
      </c>
      <c r="C43" s="14">
        <v>1656645008186.8901</v>
      </c>
      <c r="D43" s="14">
        <v>414161252046.72253</v>
      </c>
      <c r="E43" s="14">
        <v>599.16534988599926</v>
      </c>
      <c r="F43" s="14">
        <v>2.4007165547369522E-16</v>
      </c>
      <c r="G43"/>
      <c r="H43"/>
    </row>
    <row r="44" spans="1:9" x14ac:dyDescent="0.3">
      <c r="A44" s="14" t="s">
        <v>31</v>
      </c>
      <c r="B44" s="14">
        <v>15</v>
      </c>
      <c r="C44" s="14">
        <v>10368454687.64649</v>
      </c>
      <c r="D44" s="14">
        <v>691230312.50976598</v>
      </c>
      <c r="E44" s="14"/>
      <c r="F44" s="14"/>
      <c r="G44"/>
      <c r="H44"/>
    </row>
    <row r="45" spans="1:9" ht="15" thickBot="1" x14ac:dyDescent="0.35">
      <c r="A45" s="15" t="s">
        <v>32</v>
      </c>
      <c r="B45" s="15">
        <v>19</v>
      </c>
      <c r="C45" s="15">
        <v>1667013462874.5366</v>
      </c>
      <c r="D45" s="15"/>
      <c r="E45" s="15"/>
      <c r="F45" s="15"/>
      <c r="G45"/>
      <c r="H45"/>
    </row>
    <row r="46" spans="1:9" ht="15" thickBot="1" x14ac:dyDescent="0.35">
      <c r="A46"/>
      <c r="B46"/>
      <c r="C46"/>
      <c r="D46"/>
      <c r="E46"/>
      <c r="F46"/>
      <c r="G46"/>
      <c r="H46"/>
    </row>
    <row r="47" spans="1:9" x14ac:dyDescent="0.3">
      <c r="A47" s="16"/>
      <c r="B47" s="16" t="s">
        <v>38</v>
      </c>
      <c r="C47" s="16" t="s">
        <v>27</v>
      </c>
      <c r="D47" s="16" t="s">
        <v>39</v>
      </c>
      <c r="E47" s="16" t="s">
        <v>40</v>
      </c>
      <c r="F47" s="16" t="s">
        <v>41</v>
      </c>
      <c r="G47" s="16" t="s">
        <v>42</v>
      </c>
      <c r="H47" s="16" t="s">
        <v>43</v>
      </c>
      <c r="I47" s="16" t="s">
        <v>44</v>
      </c>
    </row>
    <row r="48" spans="1:9" x14ac:dyDescent="0.3">
      <c r="A48" s="14" t="s">
        <v>15</v>
      </c>
      <c r="B48" s="14">
        <v>6172.2474716861298</v>
      </c>
      <c r="C48" s="14">
        <v>19386.040868358152</v>
      </c>
      <c r="D48" s="14">
        <v>0.31838617867356594</v>
      </c>
      <c r="E48" s="14">
        <v>0.75458193359436709</v>
      </c>
      <c r="F48" s="14">
        <v>-35148.120527379062</v>
      </c>
      <c r="G48" s="14">
        <v>47492.615470751327</v>
      </c>
      <c r="H48" s="14">
        <v>-35148.120527379062</v>
      </c>
      <c r="I48" s="14">
        <v>47492.615470751327</v>
      </c>
    </row>
    <row r="49" spans="1:9" x14ac:dyDescent="0.3">
      <c r="A49" s="14" t="s">
        <v>3</v>
      </c>
      <c r="B49" s="14">
        <v>156.46840326626361</v>
      </c>
      <c r="C49" s="14">
        <v>3.562245542827319</v>
      </c>
      <c r="D49" s="14">
        <v>43.924092650299507</v>
      </c>
      <c r="E49" s="14">
        <v>2.9044325394992421E-17</v>
      </c>
      <c r="F49" s="14">
        <v>148.875656622832</v>
      </c>
      <c r="G49" s="14">
        <v>164.06114990969522</v>
      </c>
      <c r="H49" s="14">
        <v>148.875656622832</v>
      </c>
      <c r="I49" s="14">
        <v>164.06114990969522</v>
      </c>
    </row>
    <row r="50" spans="1:9" x14ac:dyDescent="0.3">
      <c r="A50" s="14" t="s">
        <v>2</v>
      </c>
      <c r="B50" s="14">
        <v>-2834.8661482202724</v>
      </c>
      <c r="C50" s="14">
        <v>673.06268685515602</v>
      </c>
      <c r="D50" s="14">
        <v>-4.2118902200120614</v>
      </c>
      <c r="E50" s="14">
        <v>7.5456663929959463E-4</v>
      </c>
      <c r="F50" s="14">
        <v>-4269.4653062509351</v>
      </c>
      <c r="G50" s="14">
        <v>-1400.2669901896095</v>
      </c>
      <c r="H50" s="14">
        <v>-4269.4653062509351</v>
      </c>
      <c r="I50" s="14">
        <v>-1400.2669901896095</v>
      </c>
    </row>
    <row r="51" spans="1:9" x14ac:dyDescent="0.3">
      <c r="A51" s="14" t="s">
        <v>13</v>
      </c>
      <c r="B51" s="14">
        <v>36105.442011972234</v>
      </c>
      <c r="C51" s="14">
        <v>15623.351617059296</v>
      </c>
      <c r="D51" s="14">
        <v>2.3109920903622458</v>
      </c>
      <c r="E51" s="14">
        <v>3.5462330793437788E-2</v>
      </c>
      <c r="F51" s="14">
        <v>2805.0563076706385</v>
      </c>
      <c r="G51" s="14">
        <v>69405.827716273838</v>
      </c>
      <c r="H51" s="14">
        <v>2805.0563076706385</v>
      </c>
      <c r="I51" s="14">
        <v>69405.827716273838</v>
      </c>
    </row>
    <row r="52" spans="1:9" ht="15" thickBot="1" x14ac:dyDescent="0.35">
      <c r="A52" s="15" t="s">
        <v>14</v>
      </c>
      <c r="B52" s="15">
        <v>-13865.738469740896</v>
      </c>
      <c r="C52" s="15">
        <v>17288.787986489351</v>
      </c>
      <c r="D52" s="15">
        <v>-0.80200754850927314</v>
      </c>
      <c r="E52" s="15">
        <v>0.43507112503083945</v>
      </c>
      <c r="F52" s="15">
        <v>-50715.917766822909</v>
      </c>
      <c r="G52" s="15">
        <v>22984.440827341114</v>
      </c>
      <c r="H52" s="15">
        <v>-50715.917766822909</v>
      </c>
      <c r="I52" s="15">
        <v>22984.440827341114</v>
      </c>
    </row>
    <row r="53" spans="1:9" x14ac:dyDescent="0.3">
      <c r="A53"/>
      <c r="B53"/>
      <c r="C53"/>
      <c r="D53"/>
      <c r="E53"/>
      <c r="F53"/>
      <c r="G53"/>
      <c r="H53"/>
    </row>
    <row r="54" spans="1:9" x14ac:dyDescent="0.3">
      <c r="A54"/>
      <c r="B54"/>
      <c r="C54"/>
      <c r="D54"/>
      <c r="E54"/>
      <c r="F54"/>
      <c r="G54"/>
      <c r="H54"/>
    </row>
    <row r="55" spans="1:9" x14ac:dyDescent="0.3">
      <c r="A55"/>
      <c r="B55"/>
      <c r="C55"/>
      <c r="D55"/>
      <c r="E55"/>
      <c r="F55"/>
      <c r="G55"/>
      <c r="H55"/>
    </row>
    <row r="56" spans="1:9" x14ac:dyDescent="0.3">
      <c r="A56" t="s">
        <v>45</v>
      </c>
      <c r="B56"/>
      <c r="C56"/>
      <c r="D56"/>
      <c r="E56"/>
      <c r="F56"/>
      <c r="G56"/>
      <c r="H56"/>
    </row>
    <row r="57" spans="1:9" ht="15" thickBot="1" x14ac:dyDescent="0.35">
      <c r="A57"/>
      <c r="B57"/>
      <c r="C57"/>
      <c r="D57"/>
      <c r="E57"/>
      <c r="F57"/>
      <c r="G57"/>
      <c r="H57"/>
    </row>
    <row r="58" spans="1:9" x14ac:dyDescent="0.3">
      <c r="A58" s="16" t="s">
        <v>46</v>
      </c>
      <c r="B58" s="16" t="s">
        <v>47</v>
      </c>
      <c r="C58" s="16" t="s">
        <v>48</v>
      </c>
      <c r="D58"/>
      <c r="E58"/>
      <c r="F58"/>
      <c r="G58"/>
      <c r="H58"/>
    </row>
    <row r="59" spans="1:9" x14ac:dyDescent="0.3">
      <c r="A59" s="14">
        <v>1</v>
      </c>
      <c r="B59" s="14">
        <v>170311.79093693517</v>
      </c>
      <c r="C59" s="14">
        <v>12389.971367706137</v>
      </c>
      <c r="D59"/>
      <c r="E59"/>
      <c r="F59"/>
      <c r="G59"/>
      <c r="H59"/>
    </row>
    <row r="60" spans="1:9" x14ac:dyDescent="0.3">
      <c r="A60" s="14">
        <v>2</v>
      </c>
      <c r="B60" s="14">
        <v>383477.51716760424</v>
      </c>
      <c r="C60" s="14">
        <v>-17445.259717325389</v>
      </c>
      <c r="D60"/>
      <c r="E60"/>
      <c r="F60"/>
      <c r="G60"/>
      <c r="H60"/>
    </row>
    <row r="61" spans="1:9" x14ac:dyDescent="0.3">
      <c r="A61" s="14">
        <v>3</v>
      </c>
      <c r="B61" s="14">
        <v>748826.13772792032</v>
      </c>
      <c r="C61" s="14">
        <v>-23354.438982359017</v>
      </c>
      <c r="D61"/>
      <c r="E61"/>
      <c r="F61"/>
      <c r="G61"/>
      <c r="H61"/>
    </row>
    <row r="62" spans="1:9" x14ac:dyDescent="0.3">
      <c r="A62" s="14">
        <v>4</v>
      </c>
      <c r="B62" s="14">
        <v>707555.34904448187</v>
      </c>
      <c r="C62" s="14">
        <v>32012.88970887789</v>
      </c>
      <c r="D62"/>
      <c r="E62"/>
      <c r="F62"/>
      <c r="G62"/>
      <c r="H62"/>
    </row>
    <row r="63" spans="1:9" x14ac:dyDescent="0.3">
      <c r="A63" s="14">
        <v>5</v>
      </c>
      <c r="B63" s="14">
        <v>539637.32816250727</v>
      </c>
      <c r="C63" s="14">
        <v>-20250.448099550209</v>
      </c>
      <c r="D63"/>
      <c r="E63"/>
      <c r="F63"/>
      <c r="G63"/>
      <c r="H63"/>
    </row>
    <row r="64" spans="1:9" x14ac:dyDescent="0.3">
      <c r="A64" s="14">
        <v>6</v>
      </c>
      <c r="B64" s="14">
        <v>127874.43904441516</v>
      </c>
      <c r="C64" s="14">
        <v>-8461.3132381016912</v>
      </c>
      <c r="D64"/>
      <c r="E64"/>
      <c r="F64"/>
      <c r="G64"/>
      <c r="H64"/>
    </row>
    <row r="65" spans="1:8" x14ac:dyDescent="0.3">
      <c r="A65" s="14">
        <v>7</v>
      </c>
      <c r="B65" s="14">
        <v>215669.64930845954</v>
      </c>
      <c r="C65" s="14">
        <v>-689.4838543952792</v>
      </c>
      <c r="D65"/>
      <c r="E65"/>
      <c r="F65"/>
      <c r="G65"/>
      <c r="H65"/>
    </row>
    <row r="66" spans="1:8" x14ac:dyDescent="0.3">
      <c r="A66" s="14">
        <v>8</v>
      </c>
      <c r="B66" s="14">
        <v>248017.09425304711</v>
      </c>
      <c r="C66" s="14">
        <v>42761.240737329499</v>
      </c>
      <c r="D66"/>
      <c r="E66"/>
      <c r="F66"/>
      <c r="G66"/>
      <c r="H66"/>
    </row>
    <row r="67" spans="1:8" x14ac:dyDescent="0.3">
      <c r="A67" s="14">
        <v>9</v>
      </c>
      <c r="B67" s="14">
        <v>352379.6298679653</v>
      </c>
      <c r="C67" s="14">
        <v>-19194.006546806952</v>
      </c>
      <c r="D67"/>
      <c r="E67"/>
      <c r="F67"/>
      <c r="G67"/>
      <c r="H67"/>
    </row>
    <row r="68" spans="1:8" x14ac:dyDescent="0.3">
      <c r="A68" s="14">
        <v>10</v>
      </c>
      <c r="B68" s="14">
        <v>511682.89928244916</v>
      </c>
      <c r="C68" s="14">
        <v>-8310.3110293347854</v>
      </c>
      <c r="D68"/>
      <c r="E68"/>
      <c r="F68"/>
      <c r="G68"/>
      <c r="H68"/>
    </row>
    <row r="69" spans="1:8" x14ac:dyDescent="0.3">
      <c r="A69" s="14">
        <v>11</v>
      </c>
      <c r="B69" s="14">
        <v>527244.09927829157</v>
      </c>
      <c r="C69" s="14">
        <v>-21509.115458987537</v>
      </c>
      <c r="D69"/>
      <c r="E69"/>
      <c r="F69"/>
      <c r="G69"/>
      <c r="H69"/>
    </row>
    <row r="70" spans="1:8" x14ac:dyDescent="0.3">
      <c r="A70" s="14">
        <v>12</v>
      </c>
      <c r="B70" s="14">
        <v>534606.64720591658</v>
      </c>
      <c r="C70" s="14">
        <v>-7017.7274954904569</v>
      </c>
      <c r="D70"/>
      <c r="E70"/>
      <c r="F70"/>
      <c r="G70"/>
      <c r="H70"/>
    </row>
    <row r="71" spans="1:8" x14ac:dyDescent="0.3">
      <c r="A71" s="14">
        <v>13</v>
      </c>
      <c r="B71" s="14">
        <v>602753.5877860327</v>
      </c>
      <c r="C71" s="14">
        <v>34271.615158492816</v>
      </c>
      <c r="D71"/>
      <c r="E71"/>
      <c r="F71"/>
      <c r="G71"/>
      <c r="H71"/>
    </row>
    <row r="72" spans="1:8" x14ac:dyDescent="0.3">
      <c r="A72" s="14">
        <v>14</v>
      </c>
      <c r="B72" s="14">
        <v>947069.71530259668</v>
      </c>
      <c r="C72" s="14">
        <v>20267.185646648635</v>
      </c>
      <c r="D72"/>
      <c r="E72"/>
      <c r="F72"/>
      <c r="G72"/>
      <c r="H72"/>
    </row>
    <row r="73" spans="1:8" x14ac:dyDescent="0.3">
      <c r="A73" s="14">
        <v>15</v>
      </c>
      <c r="B73" s="14">
        <v>1178543.2214516273</v>
      </c>
      <c r="C73" s="14">
        <v>-31169.243364298018</v>
      </c>
      <c r="D73"/>
      <c r="E73"/>
      <c r="F73"/>
      <c r="G73"/>
      <c r="H73"/>
    </row>
    <row r="74" spans="1:8" x14ac:dyDescent="0.3">
      <c r="A74" s="14">
        <v>16</v>
      </c>
      <c r="B74" s="14">
        <v>1073606.7944783031</v>
      </c>
      <c r="C74" s="14">
        <v>26669.498696468072</v>
      </c>
      <c r="D74"/>
      <c r="E74"/>
      <c r="F74"/>
      <c r="G74"/>
      <c r="H74"/>
    </row>
    <row r="75" spans="1:8" x14ac:dyDescent="0.3">
      <c r="A75" s="14">
        <v>17</v>
      </c>
      <c r="B75" s="14">
        <v>249993.98946354631</v>
      </c>
      <c r="C75" s="14">
        <v>-22191.138356312877</v>
      </c>
      <c r="D75"/>
      <c r="E75"/>
      <c r="F75"/>
      <c r="G75"/>
      <c r="H75"/>
    </row>
    <row r="76" spans="1:8" x14ac:dyDescent="0.3">
      <c r="A76" s="14">
        <v>18</v>
      </c>
      <c r="B76" s="14">
        <v>298407.02002895041</v>
      </c>
      <c r="C76" s="14">
        <v>32906.5599956878</v>
      </c>
      <c r="D76"/>
      <c r="E76"/>
      <c r="F76"/>
      <c r="G76"/>
      <c r="H76"/>
    </row>
    <row r="77" spans="1:8" x14ac:dyDescent="0.3">
      <c r="A77" s="14">
        <v>19</v>
      </c>
      <c r="B77" s="14">
        <v>355324.64903901529</v>
      </c>
      <c r="C77" s="14">
        <v>-11789.225066720624</v>
      </c>
      <c r="D77"/>
      <c r="E77"/>
      <c r="F77"/>
      <c r="G77"/>
      <c r="H77"/>
    </row>
    <row r="78" spans="1:8" ht="15" thickBot="1" x14ac:dyDescent="0.35">
      <c r="A78" s="15">
        <v>20</v>
      </c>
      <c r="B78" s="15">
        <v>480389.21862919646</v>
      </c>
      <c r="C78" s="15">
        <v>-9897.2501015273738</v>
      </c>
      <c r="D78"/>
      <c r="E78"/>
      <c r="F78"/>
      <c r="G78"/>
      <c r="H78"/>
    </row>
  </sheetData>
  <mergeCells count="2">
    <mergeCell ref="A27:E27"/>
    <mergeCell ref="A31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N28" sqref="N28"/>
    </sheetView>
  </sheetViews>
  <sheetFormatPr defaultColWidth="14.33203125" defaultRowHeight="14.4" x14ac:dyDescent="0.3"/>
  <cols>
    <col min="1" max="1" width="11.109375" style="2" bestFit="1" customWidth="1"/>
    <col min="2" max="2" width="10.6640625" style="2" bestFit="1" customWidth="1"/>
    <col min="3" max="4" width="15" style="2" bestFit="1" customWidth="1"/>
    <col min="5" max="5" width="19" style="2" bestFit="1" customWidth="1"/>
    <col min="6" max="6" width="8.6640625" style="2" bestFit="1" customWidth="1"/>
    <col min="7" max="7" width="10.88671875" style="4" bestFit="1" customWidth="1"/>
    <col min="8" max="8" width="9.6640625" style="4" bestFit="1" customWidth="1"/>
    <col min="9" max="10" width="14.77734375" bestFit="1" customWidth="1"/>
    <col min="11" max="11" width="13.33203125" bestFit="1" customWidth="1"/>
    <col min="12" max="12" width="13.6640625" bestFit="1" customWidth="1"/>
    <col min="13" max="13" width="19.6640625" bestFit="1" customWidth="1"/>
  </cols>
  <sheetData>
    <row r="1" spans="1:13" x14ac:dyDescent="0.3">
      <c r="A1" s="1" t="s">
        <v>3</v>
      </c>
      <c r="B1" s="1" t="s">
        <v>2</v>
      </c>
      <c r="C1" s="1" t="s">
        <v>13</v>
      </c>
      <c r="D1" s="1" t="s">
        <v>14</v>
      </c>
      <c r="E1" s="1" t="s">
        <v>18</v>
      </c>
      <c r="F1" s="1" t="s">
        <v>15</v>
      </c>
      <c r="G1" s="1" t="s">
        <v>3</v>
      </c>
      <c r="H1" s="1" t="s">
        <v>2</v>
      </c>
      <c r="I1" s="1" t="s">
        <v>13</v>
      </c>
      <c r="J1" s="1" t="s">
        <v>14</v>
      </c>
      <c r="K1" s="1" t="s">
        <v>16</v>
      </c>
      <c r="L1" s="1" t="s">
        <v>11</v>
      </c>
      <c r="M1" s="1" t="s">
        <v>17</v>
      </c>
    </row>
    <row r="2" spans="1:13" x14ac:dyDescent="0.3">
      <c r="A2" s="2">
        <v>1500</v>
      </c>
      <c r="B2" s="2">
        <v>20</v>
      </c>
      <c r="C2" s="2">
        <v>1</v>
      </c>
      <c r="D2" s="2">
        <v>0</v>
      </c>
      <c r="E2" s="10">
        <v>182701.76230464131</v>
      </c>
      <c r="F2" s="2">
        <v>0</v>
      </c>
      <c r="G2" s="4">
        <v>157.09366236801065</v>
      </c>
      <c r="H2" s="4">
        <v>-2569.1484100349157</v>
      </c>
      <c r="I2" s="9">
        <v>-22208.087582708667</v>
      </c>
      <c r="J2" s="9">
        <v>32627.299807426942</v>
      </c>
      <c r="K2" s="5">
        <f>($G$2*A2)+(B2*$H$2)+(C2*$I$2)+(D2*$J$2)+$F$2</f>
        <v>162049.437768609</v>
      </c>
      <c r="L2" s="5">
        <f>E2-K2</f>
        <v>20652.324536032305</v>
      </c>
      <c r="M2" s="5">
        <f>L2^2</f>
        <v>426518508.741602</v>
      </c>
    </row>
    <row r="3" spans="1:13" x14ac:dyDescent="0.3">
      <c r="A3" s="2">
        <v>2500</v>
      </c>
      <c r="B3" s="2">
        <v>0</v>
      </c>
      <c r="C3" s="2">
        <v>1</v>
      </c>
      <c r="D3" s="2">
        <v>0</v>
      </c>
      <c r="E3" s="10">
        <v>366032.25745027885</v>
      </c>
      <c r="I3" s="5"/>
      <c r="J3" s="5"/>
      <c r="K3" s="5">
        <f t="shared" ref="K3:K21" si="0">($G$2*A3)+(B3*$H$2)+(C3*$I$2)+(D3*$J$2)+$F$2</f>
        <v>370526.06833731796</v>
      </c>
      <c r="L3" s="5">
        <f t="shared" ref="L3:L21" si="1">E3-K3</f>
        <v>-4493.8108870391152</v>
      </c>
      <c r="M3" s="5">
        <f t="shared" ref="M3:M21" si="2">L3^2</f>
        <v>20194336.288471278</v>
      </c>
    </row>
    <row r="4" spans="1:13" x14ac:dyDescent="0.3">
      <c r="A4" s="2">
        <v>5000</v>
      </c>
      <c r="B4" s="2">
        <v>14</v>
      </c>
      <c r="C4" s="2">
        <v>1</v>
      </c>
      <c r="D4" s="2">
        <v>1</v>
      </c>
      <c r="E4" s="10">
        <v>725471.6987455613</v>
      </c>
      <c r="I4" s="5"/>
      <c r="J4" s="5"/>
      <c r="K4" s="5">
        <f t="shared" si="0"/>
        <v>759919.44632428279</v>
      </c>
      <c r="L4" s="5">
        <f t="shared" si="1"/>
        <v>-34447.747578721493</v>
      </c>
      <c r="M4" s="5">
        <f t="shared" si="2"/>
        <v>1186647313.2473125</v>
      </c>
    </row>
    <row r="5" spans="1:13" x14ac:dyDescent="0.3">
      <c r="A5" s="2">
        <v>4700</v>
      </c>
      <c r="B5" s="2">
        <v>12</v>
      </c>
      <c r="C5" s="2">
        <v>1</v>
      </c>
      <c r="D5" s="2">
        <v>1</v>
      </c>
      <c r="E5" s="10">
        <v>739568.23875335976</v>
      </c>
      <c r="I5" s="5"/>
      <c r="J5" s="5"/>
      <c r="K5" s="5">
        <f t="shared" si="0"/>
        <v>717929.64443394938</v>
      </c>
      <c r="L5" s="5">
        <f t="shared" si="1"/>
        <v>21638.594319410389</v>
      </c>
      <c r="M5" s="5">
        <f t="shared" si="2"/>
        <v>468228764.12001956</v>
      </c>
    </row>
    <row r="6" spans="1:13" x14ac:dyDescent="0.3">
      <c r="A6" s="2">
        <v>3500</v>
      </c>
      <c r="B6" s="2">
        <v>5</v>
      </c>
      <c r="C6" s="2">
        <v>1</v>
      </c>
      <c r="D6" s="2">
        <v>1</v>
      </c>
      <c r="E6" s="10">
        <v>519386.88006295706</v>
      </c>
      <c r="I6" s="5"/>
      <c r="J6" s="5"/>
      <c r="K6" s="5">
        <f t="shared" si="0"/>
        <v>547401.288462581</v>
      </c>
      <c r="L6" s="5">
        <f t="shared" si="1"/>
        <v>-28014.408399623935</v>
      </c>
      <c r="M6" s="5">
        <f t="shared" si="2"/>
        <v>784807077.98092008</v>
      </c>
    </row>
    <row r="7" spans="1:13" x14ac:dyDescent="0.3">
      <c r="A7" s="2">
        <v>1000</v>
      </c>
      <c r="B7" s="2">
        <v>25</v>
      </c>
      <c r="C7" s="2">
        <v>0</v>
      </c>
      <c r="D7" s="2">
        <v>1</v>
      </c>
      <c r="E7" s="10">
        <v>119413.12580631347</v>
      </c>
      <c r="I7" s="5"/>
      <c r="J7" s="5"/>
      <c r="K7" s="5">
        <f t="shared" si="0"/>
        <v>125492.2519245647</v>
      </c>
      <c r="L7" s="5">
        <f t="shared" si="1"/>
        <v>-6079.1261182512244</v>
      </c>
      <c r="M7" s="5">
        <f t="shared" si="2"/>
        <v>36955774.361604199</v>
      </c>
    </row>
    <row r="8" spans="1:13" x14ac:dyDescent="0.3">
      <c r="A8" s="2">
        <v>1500</v>
      </c>
      <c r="B8" s="2">
        <v>4</v>
      </c>
      <c r="C8" s="2">
        <v>1</v>
      </c>
      <c r="D8" s="2">
        <v>0</v>
      </c>
      <c r="E8" s="10">
        <v>214980.16545406426</v>
      </c>
      <c r="I8" s="5"/>
      <c r="J8" s="5"/>
      <c r="K8" s="5">
        <f t="shared" si="0"/>
        <v>203155.81232916765</v>
      </c>
      <c r="L8" s="5">
        <f t="shared" si="1"/>
        <v>11824.353124896617</v>
      </c>
      <c r="M8" s="5">
        <f t="shared" si="2"/>
        <v>139815326.82225239</v>
      </c>
    </row>
    <row r="9" spans="1:13" x14ac:dyDescent="0.3">
      <c r="A9" s="2">
        <v>1600</v>
      </c>
      <c r="B9" s="2">
        <v>3</v>
      </c>
      <c r="C9" s="2">
        <v>1</v>
      </c>
      <c r="D9" s="2">
        <v>1</v>
      </c>
      <c r="E9" s="10">
        <v>290778.33499037661</v>
      </c>
      <c r="I9" s="5"/>
      <c r="J9" s="5"/>
      <c r="K9" s="5">
        <f t="shared" si="0"/>
        <v>254061.62678343058</v>
      </c>
      <c r="L9" s="5">
        <f t="shared" si="1"/>
        <v>36716.70820694603</v>
      </c>
      <c r="M9" s="5">
        <f t="shared" si="2"/>
        <v>1348116661.554018</v>
      </c>
    </row>
    <row r="10" spans="1:13" x14ac:dyDescent="0.3">
      <c r="A10" s="2">
        <v>2000</v>
      </c>
      <c r="B10" s="2">
        <v>1</v>
      </c>
      <c r="C10" s="2">
        <v>0</v>
      </c>
      <c r="D10" s="2">
        <v>1</v>
      </c>
      <c r="E10" s="10">
        <v>333185.62332115835</v>
      </c>
      <c r="I10" s="5"/>
      <c r="J10" s="5"/>
      <c r="K10" s="5">
        <f t="shared" si="0"/>
        <v>344245.47613341332</v>
      </c>
      <c r="L10" s="5">
        <f t="shared" si="1"/>
        <v>-11059.852812254976</v>
      </c>
      <c r="M10" s="5">
        <f t="shared" si="2"/>
        <v>122320344.2287443</v>
      </c>
    </row>
    <row r="11" spans="1:13" x14ac:dyDescent="0.3">
      <c r="A11" s="2">
        <v>3000</v>
      </c>
      <c r="B11" s="2">
        <v>0</v>
      </c>
      <c r="C11" s="2">
        <v>0</v>
      </c>
      <c r="D11" s="2">
        <v>1</v>
      </c>
      <c r="E11" s="10">
        <v>503372.58825311437</v>
      </c>
      <c r="I11" s="5"/>
      <c r="J11" s="5"/>
      <c r="K11" s="5">
        <f t="shared" si="0"/>
        <v>503908.28691145888</v>
      </c>
      <c r="L11" s="5">
        <f t="shared" si="1"/>
        <v>-535.69865834451048</v>
      </c>
      <c r="M11" s="5">
        <f t="shared" si="2"/>
        <v>286973.05255210854</v>
      </c>
    </row>
    <row r="12" spans="1:13" x14ac:dyDescent="0.3">
      <c r="A12" s="2">
        <v>3600</v>
      </c>
      <c r="B12" s="2">
        <v>10</v>
      </c>
      <c r="C12" s="2">
        <v>1</v>
      </c>
      <c r="D12" s="2">
        <v>0</v>
      </c>
      <c r="E12" s="10">
        <v>505734.98381930403</v>
      </c>
      <c r="I12" s="5"/>
      <c r="J12" s="5"/>
      <c r="K12" s="5">
        <f t="shared" si="0"/>
        <v>517637.61284178053</v>
      </c>
      <c r="L12" s="5">
        <f t="shared" si="1"/>
        <v>-11902.629022476496</v>
      </c>
      <c r="M12" s="5">
        <f t="shared" si="2"/>
        <v>141672577.64669979</v>
      </c>
    </row>
    <row r="13" spans="1:13" x14ac:dyDescent="0.3">
      <c r="A13" s="2">
        <v>4100</v>
      </c>
      <c r="B13" s="2">
        <v>35</v>
      </c>
      <c r="C13" s="2">
        <v>1</v>
      </c>
      <c r="D13" s="2">
        <v>0</v>
      </c>
      <c r="E13" s="10">
        <v>527588.91971042613</v>
      </c>
      <c r="I13" s="5"/>
      <c r="J13" s="5"/>
      <c r="K13" s="5">
        <f t="shared" si="0"/>
        <v>531955.73377491301</v>
      </c>
      <c r="L13" s="5">
        <f t="shared" si="1"/>
        <v>-4366.8140644868836</v>
      </c>
      <c r="M13" s="5">
        <f t="shared" si="2"/>
        <v>19069065.073800456</v>
      </c>
    </row>
    <row r="14" spans="1:13" x14ac:dyDescent="0.3">
      <c r="A14" s="2">
        <v>4300</v>
      </c>
      <c r="B14" s="2">
        <v>22</v>
      </c>
      <c r="C14" s="2">
        <v>1</v>
      </c>
      <c r="D14" s="2">
        <v>0</v>
      </c>
      <c r="E14" s="10">
        <v>637025.20294452552</v>
      </c>
      <c r="I14" s="5"/>
      <c r="J14" s="5"/>
      <c r="K14" s="5">
        <f t="shared" si="0"/>
        <v>596773.39557896892</v>
      </c>
      <c r="L14" s="5">
        <f t="shared" si="1"/>
        <v>40251.807365556597</v>
      </c>
      <c r="M14" s="5">
        <f t="shared" si="2"/>
        <v>1620207996.1938763</v>
      </c>
    </row>
    <row r="15" spans="1:13" x14ac:dyDescent="0.3">
      <c r="A15" s="2">
        <v>6000</v>
      </c>
      <c r="B15" s="2">
        <v>12</v>
      </c>
      <c r="C15" s="2">
        <v>0</v>
      </c>
      <c r="D15" s="2">
        <v>1</v>
      </c>
      <c r="E15" s="10">
        <v>967336.90094924532</v>
      </c>
      <c r="I15" s="5"/>
      <c r="J15" s="5"/>
      <c r="K15" s="5">
        <f t="shared" si="0"/>
        <v>944359.49309507187</v>
      </c>
      <c r="L15" s="5">
        <f t="shared" si="1"/>
        <v>22977.407854173449</v>
      </c>
      <c r="M15" s="5">
        <f t="shared" si="2"/>
        <v>527961271.69703168</v>
      </c>
    </row>
    <row r="16" spans="1:13" x14ac:dyDescent="0.3">
      <c r="A16" s="2">
        <v>8000</v>
      </c>
      <c r="B16" s="2">
        <v>28</v>
      </c>
      <c r="C16" s="2">
        <v>1</v>
      </c>
      <c r="D16" s="2">
        <v>1</v>
      </c>
      <c r="E16" s="10">
        <v>1147373.9780873293</v>
      </c>
      <c r="I16" s="5"/>
      <c r="J16" s="5"/>
      <c r="K16" s="5">
        <f t="shared" si="0"/>
        <v>1195232.3556878259</v>
      </c>
      <c r="L16" s="5">
        <f t="shared" si="1"/>
        <v>-47858.377600496635</v>
      </c>
      <c r="M16" s="5">
        <f t="shared" si="2"/>
        <v>2290424306.5517182</v>
      </c>
    </row>
    <row r="17" spans="1:13" x14ac:dyDescent="0.3">
      <c r="A17" s="2">
        <v>6700</v>
      </c>
      <c r="B17" s="2">
        <v>6</v>
      </c>
      <c r="C17" s="2">
        <v>0</v>
      </c>
      <c r="D17" s="2">
        <v>1</v>
      </c>
      <c r="E17" s="10">
        <v>1100276.2931747711</v>
      </c>
      <c r="I17" s="5"/>
      <c r="J17" s="5"/>
      <c r="K17" s="5">
        <f t="shared" si="0"/>
        <v>1069739.9472128889</v>
      </c>
      <c r="L17" s="5">
        <f t="shared" si="1"/>
        <v>30536.345961882267</v>
      </c>
      <c r="M17" s="5">
        <f t="shared" si="2"/>
        <v>932468424.70376348</v>
      </c>
    </row>
    <row r="18" spans="1:13" x14ac:dyDescent="0.3">
      <c r="A18" s="2">
        <v>1400</v>
      </c>
      <c r="B18" s="2">
        <v>4</v>
      </c>
      <c r="C18" s="2">
        <v>0</v>
      </c>
      <c r="D18" s="2">
        <v>1</v>
      </c>
      <c r="E18" s="10">
        <v>227802.85110723344</v>
      </c>
      <c r="I18" s="5"/>
      <c r="J18" s="5"/>
      <c r="K18" s="5">
        <f t="shared" si="0"/>
        <v>242281.8334825022</v>
      </c>
      <c r="L18" s="5">
        <f t="shared" si="1"/>
        <v>-14478.982375268766</v>
      </c>
      <c r="M18" s="5">
        <f t="shared" si="2"/>
        <v>209640930.62334356</v>
      </c>
    </row>
    <row r="19" spans="1:13" x14ac:dyDescent="0.3">
      <c r="A19" s="2">
        <v>1800</v>
      </c>
      <c r="B19" s="2">
        <v>9</v>
      </c>
      <c r="C19" s="2">
        <v>0</v>
      </c>
      <c r="D19" s="2">
        <v>1</v>
      </c>
      <c r="E19" s="10">
        <v>331313.58002463821</v>
      </c>
      <c r="I19" s="5"/>
      <c r="J19" s="5"/>
      <c r="K19" s="5">
        <f t="shared" si="0"/>
        <v>292273.55637953186</v>
      </c>
      <c r="L19" s="5">
        <f t="shared" si="1"/>
        <v>39040.023645106354</v>
      </c>
      <c r="M19" s="5">
        <f t="shared" si="2"/>
        <v>1524123446.2104633</v>
      </c>
    </row>
    <row r="20" spans="1:13" x14ac:dyDescent="0.3">
      <c r="A20" s="2">
        <v>2200</v>
      </c>
      <c r="B20" s="2">
        <v>11</v>
      </c>
      <c r="C20" s="2">
        <v>0</v>
      </c>
      <c r="D20" s="2">
        <v>1</v>
      </c>
      <c r="E20" s="10">
        <v>343535.42397229467</v>
      </c>
      <c r="I20" s="5"/>
      <c r="J20" s="5"/>
      <c r="K20" s="5">
        <f t="shared" si="0"/>
        <v>349972.7245066663</v>
      </c>
      <c r="L20" s="5">
        <f t="shared" si="1"/>
        <v>-6437.3005343716359</v>
      </c>
      <c r="M20" s="5">
        <f t="shared" si="2"/>
        <v>41438838.169821352</v>
      </c>
    </row>
    <row r="21" spans="1:13" x14ac:dyDescent="0.3">
      <c r="A21" s="2">
        <v>2800</v>
      </c>
      <c r="B21" s="2">
        <v>0</v>
      </c>
      <c r="C21" s="2">
        <v>0</v>
      </c>
      <c r="D21" s="2">
        <v>1</v>
      </c>
      <c r="E21" s="10">
        <v>470491.96852766909</v>
      </c>
      <c r="I21" s="5"/>
      <c r="J21" s="5"/>
      <c r="K21" s="5">
        <f t="shared" si="0"/>
        <v>472489.55443785677</v>
      </c>
      <c r="L21" s="5">
        <f t="shared" si="1"/>
        <v>-1997.5859101876849</v>
      </c>
      <c r="M21" s="5">
        <f t="shared" si="2"/>
        <v>3990349.4685803615</v>
      </c>
    </row>
    <row r="23" spans="1:13" x14ac:dyDescent="0.3">
      <c r="I23" s="4"/>
      <c r="J23" s="5"/>
      <c r="K23" s="5">
        <f>SUM(K2:K22)</f>
        <v>10201405.546406783</v>
      </c>
      <c r="L23" s="5">
        <f>SUM(L2:L22)</f>
        <v>51965.231052480653</v>
      </c>
      <c r="M23" s="5">
        <f>SUM(M2:M22)</f>
        <v>11844888286.736595</v>
      </c>
    </row>
    <row r="24" spans="1:13" x14ac:dyDescent="0.3">
      <c r="I24" s="4"/>
    </row>
    <row r="26" spans="1:13" x14ac:dyDescent="0.3">
      <c r="K26" s="6" t="s">
        <v>19</v>
      </c>
      <c r="L26" s="37">
        <f>AVERAGE(L2:L21)</f>
        <v>2598.2615526240324</v>
      </c>
    </row>
    <row r="27" spans="1:13" ht="15" thickBot="1" x14ac:dyDescent="0.35">
      <c r="K27" s="11" t="s">
        <v>20</v>
      </c>
      <c r="L27" s="36">
        <f>STDEV(L2:L21)</f>
        <v>24825.569400179782</v>
      </c>
    </row>
    <row r="28" spans="1:13" ht="15" thickTop="1" x14ac:dyDescent="0.3">
      <c r="A28" s="34" t="s">
        <v>65</v>
      </c>
      <c r="B28" s="34"/>
      <c r="C28" s="34"/>
      <c r="D28" s="34"/>
      <c r="K28" s="7"/>
    </row>
    <row r="29" spans="1:13" x14ac:dyDescent="0.3">
      <c r="A29" s="20"/>
      <c r="B29" s="12"/>
      <c r="C29" s="12"/>
      <c r="D29" s="12"/>
      <c r="E29" s="12"/>
      <c r="F29" s="12"/>
      <c r="K29" s="7"/>
    </row>
    <row r="30" spans="1:13" x14ac:dyDescent="0.3">
      <c r="A30" s="19">
        <f t="array" ref="A30:D30">LINEST(E2:E21,A2:D21,FALSE)</f>
        <v>32627.299807426942</v>
      </c>
      <c r="B30" s="19">
        <v>-22208.087582708667</v>
      </c>
      <c r="C30" s="19">
        <v>-2569.1484100349157</v>
      </c>
      <c r="D30" s="19">
        <v>157.09366236801065</v>
      </c>
      <c r="K30" s="8"/>
    </row>
    <row r="31" spans="1:13" x14ac:dyDescent="0.3">
      <c r="K31" s="8"/>
    </row>
    <row r="32" spans="1:13" x14ac:dyDescent="0.3">
      <c r="K32" s="8"/>
    </row>
  </sheetData>
  <mergeCells count="1">
    <mergeCell ref="A28:D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opLeftCell="A31" workbookViewId="0">
      <selection activeCell="F57" sqref="F57"/>
    </sheetView>
  </sheetViews>
  <sheetFormatPr defaultRowHeight="14.4" x14ac:dyDescent="0.3"/>
  <cols>
    <col min="1" max="1" width="18.33203125" style="2" customWidth="1"/>
    <col min="2" max="4" width="15.77734375" style="2" customWidth="1"/>
    <col min="5" max="5" width="19" style="2" bestFit="1" customWidth="1"/>
    <col min="6" max="6" width="26.109375" style="4" bestFit="1" customWidth="1"/>
    <col min="7" max="7" width="32.88671875" style="4" bestFit="1" customWidth="1"/>
    <col min="8" max="9" width="22.77734375" bestFit="1" customWidth="1"/>
    <col min="10" max="10" width="13.33203125" bestFit="1" customWidth="1"/>
    <col min="11" max="11" width="20.109375" bestFit="1" customWidth="1"/>
    <col min="12" max="12" width="25.21875" bestFit="1" customWidth="1"/>
    <col min="13" max="13" width="18.33203125" bestFit="1" customWidth="1"/>
    <col min="14" max="14" width="10.77734375" bestFit="1" customWidth="1"/>
    <col min="15" max="17" width="10.6640625" bestFit="1" customWidth="1"/>
  </cols>
  <sheetData>
    <row r="1" spans="1:12" x14ac:dyDescent="0.3">
      <c r="A1" s="28" t="s">
        <v>21</v>
      </c>
      <c r="B1" s="28"/>
      <c r="C1" s="28"/>
      <c r="D1" s="28"/>
      <c r="E1" s="2" t="s">
        <v>4</v>
      </c>
    </row>
    <row r="2" spans="1:12" x14ac:dyDescent="0.3">
      <c r="A2" s="1" t="s">
        <v>3</v>
      </c>
      <c r="B2" s="1" t="s">
        <v>2</v>
      </c>
      <c r="C2" s="1" t="s">
        <v>13</v>
      </c>
      <c r="D2" s="1" t="s">
        <v>14</v>
      </c>
      <c r="E2" s="1" t="s">
        <v>18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16</v>
      </c>
      <c r="K2" s="1" t="s">
        <v>11</v>
      </c>
      <c r="L2" s="1" t="s">
        <v>17</v>
      </c>
    </row>
    <row r="3" spans="1:12" x14ac:dyDescent="0.3">
      <c r="A3" s="2">
        <v>1500</v>
      </c>
      <c r="B3" s="2">
        <v>20</v>
      </c>
      <c r="C3" s="2">
        <v>0</v>
      </c>
      <c r="D3" s="2">
        <v>1</v>
      </c>
      <c r="E3" s="10">
        <v>182701.76230464131</v>
      </c>
      <c r="F3" s="4">
        <v>156.46840326626361</v>
      </c>
      <c r="G3" s="4">
        <v>-2834.8661482202724</v>
      </c>
      <c r="H3" s="9">
        <v>36105.442011972234</v>
      </c>
      <c r="I3" s="9">
        <v>-13865.738469740896</v>
      </c>
      <c r="J3" s="5">
        <f>($F$3*A3)+(B3*$G$3)+(C3*$H$3)+(D3*$I$3)</f>
        <v>164139.54346524907</v>
      </c>
      <c r="K3" s="5">
        <f t="shared" ref="K3:K22" si="0">E3-J3</f>
        <v>18562.218839392241</v>
      </c>
      <c r="L3" s="5">
        <f>K3^2</f>
        <v>344555968.24148822</v>
      </c>
    </row>
    <row r="4" spans="1:12" x14ac:dyDescent="0.3">
      <c r="A4" s="2">
        <v>2500</v>
      </c>
      <c r="B4" s="2">
        <v>0</v>
      </c>
      <c r="C4" s="2">
        <v>0</v>
      </c>
      <c r="D4" s="2">
        <v>1</v>
      </c>
      <c r="E4" s="10">
        <v>366032.25745027885</v>
      </c>
      <c r="H4" s="5"/>
      <c r="I4" s="5"/>
      <c r="J4" s="5">
        <f t="shared" ref="J4:J22" si="1">($F$3*A4)+(B4*$G$3)+(C4*$H$3)+(D4*$I$3)</f>
        <v>377305.26969591813</v>
      </c>
      <c r="K4" s="5">
        <f t="shared" si="0"/>
        <v>-11273.012245639286</v>
      </c>
      <c r="L4" s="5">
        <f t="shared" ref="L4:L22" si="2">K4^2</f>
        <v>127080805.09033328</v>
      </c>
    </row>
    <row r="5" spans="1:12" x14ac:dyDescent="0.3">
      <c r="A5" s="2">
        <v>5000</v>
      </c>
      <c r="B5" s="2">
        <v>14</v>
      </c>
      <c r="C5" s="2">
        <v>0</v>
      </c>
      <c r="D5" s="2">
        <v>0</v>
      </c>
      <c r="E5" s="10">
        <v>725471.6987455613</v>
      </c>
      <c r="H5" s="5"/>
      <c r="I5" s="5"/>
      <c r="J5" s="5">
        <f t="shared" si="1"/>
        <v>742653.89025623421</v>
      </c>
      <c r="K5" s="5">
        <f t="shared" si="0"/>
        <v>-17182.191510672914</v>
      </c>
      <c r="L5" s="5">
        <f t="shared" si="2"/>
        <v>295227705.10944033</v>
      </c>
    </row>
    <row r="6" spans="1:12" x14ac:dyDescent="0.3">
      <c r="A6" s="2">
        <v>4700</v>
      </c>
      <c r="B6" s="2">
        <v>12</v>
      </c>
      <c r="C6" s="2">
        <v>0</v>
      </c>
      <c r="D6" s="2">
        <v>0</v>
      </c>
      <c r="E6" s="10">
        <v>739568.23875335976</v>
      </c>
      <c r="H6" s="5"/>
      <c r="I6" s="5"/>
      <c r="J6" s="5">
        <f t="shared" si="1"/>
        <v>701383.10157279577</v>
      </c>
      <c r="K6" s="5">
        <f t="shared" si="0"/>
        <v>38185.137180563994</v>
      </c>
      <c r="L6" s="5">
        <f t="shared" si="2"/>
        <v>1458104701.4984908</v>
      </c>
    </row>
    <row r="7" spans="1:12" x14ac:dyDescent="0.3">
      <c r="A7" s="2">
        <v>3500</v>
      </c>
      <c r="B7" s="2">
        <v>5</v>
      </c>
      <c r="C7" s="2">
        <v>0</v>
      </c>
      <c r="D7" s="2">
        <v>0</v>
      </c>
      <c r="E7" s="10">
        <v>519386.88006295706</v>
      </c>
      <c r="H7" s="5"/>
      <c r="I7" s="5"/>
      <c r="J7" s="5">
        <f t="shared" si="1"/>
        <v>533465.08069082117</v>
      </c>
      <c r="K7" s="5">
        <f t="shared" si="0"/>
        <v>-14078.200627864106</v>
      </c>
      <c r="L7" s="5">
        <f t="shared" si="2"/>
        <v>198195732.91839328</v>
      </c>
    </row>
    <row r="8" spans="1:12" x14ac:dyDescent="0.3">
      <c r="A8" s="2">
        <v>1000</v>
      </c>
      <c r="B8" s="2">
        <v>25</v>
      </c>
      <c r="C8" s="2">
        <v>1</v>
      </c>
      <c r="D8" s="2">
        <v>0</v>
      </c>
      <c r="E8" s="10">
        <v>119413.12580631347</v>
      </c>
      <c r="H8" s="5"/>
      <c r="I8" s="5"/>
      <c r="J8" s="5">
        <f t="shared" si="1"/>
        <v>121702.19157272903</v>
      </c>
      <c r="K8" s="5">
        <f t="shared" si="0"/>
        <v>-2289.0657664155588</v>
      </c>
      <c r="L8" s="5">
        <f t="shared" si="2"/>
        <v>5239822.0829756493</v>
      </c>
    </row>
    <row r="9" spans="1:12" x14ac:dyDescent="0.3">
      <c r="A9" s="2">
        <v>1500</v>
      </c>
      <c r="B9" s="2">
        <v>4</v>
      </c>
      <c r="C9" s="2">
        <v>0</v>
      </c>
      <c r="D9" s="2">
        <v>1</v>
      </c>
      <c r="E9" s="10">
        <v>214980.16545406426</v>
      </c>
      <c r="H9" s="5"/>
      <c r="I9" s="5"/>
      <c r="J9" s="5">
        <f t="shared" si="1"/>
        <v>209497.40183677341</v>
      </c>
      <c r="K9" s="5">
        <f t="shared" si="0"/>
        <v>5482.7636172908533</v>
      </c>
      <c r="L9" s="5">
        <f t="shared" si="2"/>
        <v>30060696.883088283</v>
      </c>
    </row>
    <row r="10" spans="1:12" x14ac:dyDescent="0.3">
      <c r="A10" s="2">
        <v>1600</v>
      </c>
      <c r="B10" s="2">
        <v>3</v>
      </c>
      <c r="C10" s="2">
        <v>0</v>
      </c>
      <c r="D10" s="2">
        <v>0</v>
      </c>
      <c r="E10" s="10">
        <v>290778.33499037661</v>
      </c>
      <c r="H10" s="5"/>
      <c r="I10" s="5"/>
      <c r="J10" s="5">
        <f t="shared" si="1"/>
        <v>241844.84678136098</v>
      </c>
      <c r="K10" s="5">
        <f t="shared" si="0"/>
        <v>48933.488209015632</v>
      </c>
      <c r="L10" s="5">
        <f t="shared" si="2"/>
        <v>2394486268.3018718</v>
      </c>
    </row>
    <row r="11" spans="1:12" x14ac:dyDescent="0.3">
      <c r="A11" s="2">
        <v>2000</v>
      </c>
      <c r="B11" s="2">
        <v>1</v>
      </c>
      <c r="C11" s="2">
        <v>1</v>
      </c>
      <c r="D11" s="2">
        <v>0</v>
      </c>
      <c r="E11" s="10">
        <v>333185.62332115835</v>
      </c>
      <c r="H11" s="5"/>
      <c r="I11" s="5"/>
      <c r="J11" s="5">
        <f t="shared" si="1"/>
        <v>346207.38239627919</v>
      </c>
      <c r="K11" s="5">
        <f t="shared" si="0"/>
        <v>-13021.759075120848</v>
      </c>
      <c r="L11" s="5">
        <f t="shared" si="2"/>
        <v>169566209.41049215</v>
      </c>
    </row>
    <row r="12" spans="1:12" x14ac:dyDescent="0.3">
      <c r="A12" s="2">
        <v>3000</v>
      </c>
      <c r="B12" s="2">
        <v>0</v>
      </c>
      <c r="C12" s="2">
        <v>1</v>
      </c>
      <c r="D12" s="2">
        <v>0</v>
      </c>
      <c r="E12" s="10">
        <v>503372.58825311437</v>
      </c>
      <c r="H12" s="5"/>
      <c r="I12" s="5"/>
      <c r="J12" s="5">
        <f t="shared" si="1"/>
        <v>505510.65181076305</v>
      </c>
      <c r="K12" s="5">
        <f t="shared" si="0"/>
        <v>-2138.063557648682</v>
      </c>
      <c r="L12" s="5">
        <f t="shared" si="2"/>
        <v>4571315.7765453393</v>
      </c>
    </row>
    <row r="13" spans="1:12" x14ac:dyDescent="0.3">
      <c r="A13" s="2">
        <v>3600</v>
      </c>
      <c r="B13" s="2">
        <v>10</v>
      </c>
      <c r="C13" s="2">
        <v>0</v>
      </c>
      <c r="D13" s="2">
        <v>1</v>
      </c>
      <c r="E13" s="10">
        <v>505734.98381930403</v>
      </c>
      <c r="H13" s="5"/>
      <c r="I13" s="5"/>
      <c r="J13" s="5">
        <f t="shared" si="1"/>
        <v>521071.85180660541</v>
      </c>
      <c r="K13" s="5">
        <f t="shared" si="0"/>
        <v>-15336.867987301375</v>
      </c>
      <c r="L13" s="5">
        <f t="shared" si="2"/>
        <v>235219519.65990973</v>
      </c>
    </row>
    <row r="14" spans="1:12" x14ac:dyDescent="0.3">
      <c r="A14" s="2">
        <v>4100</v>
      </c>
      <c r="B14" s="2">
        <v>35</v>
      </c>
      <c r="C14" s="2">
        <v>0</v>
      </c>
      <c r="D14" s="2">
        <v>1</v>
      </c>
      <c r="E14" s="10">
        <v>527588.91971042613</v>
      </c>
      <c r="H14" s="5"/>
      <c r="I14" s="5"/>
      <c r="J14" s="5">
        <f t="shared" si="1"/>
        <v>528434.39973423048</v>
      </c>
      <c r="K14" s="5">
        <f t="shared" si="0"/>
        <v>-845.48002380435355</v>
      </c>
      <c r="L14" s="5">
        <f t="shared" si="2"/>
        <v>714836.47065221029</v>
      </c>
    </row>
    <row r="15" spans="1:12" x14ac:dyDescent="0.3">
      <c r="A15" s="2">
        <v>4300</v>
      </c>
      <c r="B15" s="2">
        <v>22</v>
      </c>
      <c r="C15" s="2">
        <v>0</v>
      </c>
      <c r="D15" s="2">
        <v>1</v>
      </c>
      <c r="E15" s="10">
        <v>637025.20294452552</v>
      </c>
      <c r="H15" s="5"/>
      <c r="I15" s="5"/>
      <c r="J15" s="5">
        <f t="shared" si="1"/>
        <v>596581.3403143466</v>
      </c>
      <c r="K15" s="5">
        <f t="shared" si="0"/>
        <v>40443.862630178919</v>
      </c>
      <c r="L15" s="5">
        <f t="shared" si="2"/>
        <v>1635706024.4487829</v>
      </c>
    </row>
    <row r="16" spans="1:12" x14ac:dyDescent="0.3">
      <c r="A16" s="2">
        <v>6000</v>
      </c>
      <c r="B16" s="2">
        <v>12</v>
      </c>
      <c r="C16" s="2">
        <v>1</v>
      </c>
      <c r="D16" s="2">
        <v>0</v>
      </c>
      <c r="E16" s="10">
        <v>967336.90094924532</v>
      </c>
      <c r="H16" s="5"/>
      <c r="I16" s="5"/>
      <c r="J16" s="5">
        <f t="shared" si="1"/>
        <v>940897.46783091058</v>
      </c>
      <c r="K16" s="5">
        <f t="shared" si="0"/>
        <v>26439.433118334739</v>
      </c>
      <c r="L16" s="5">
        <f t="shared" si="2"/>
        <v>699043623.61889577</v>
      </c>
    </row>
    <row r="17" spans="1:21" x14ac:dyDescent="0.3">
      <c r="A17" s="2">
        <v>8000</v>
      </c>
      <c r="B17" s="2">
        <v>28</v>
      </c>
      <c r="C17" s="2">
        <v>0</v>
      </c>
      <c r="D17" s="2">
        <v>0</v>
      </c>
      <c r="E17" s="10">
        <v>1147373.9780873293</v>
      </c>
      <c r="H17" s="5"/>
      <c r="I17" s="5"/>
      <c r="J17" s="5">
        <f t="shared" si="1"/>
        <v>1172370.9739799411</v>
      </c>
      <c r="K17" s="5">
        <f t="shared" si="0"/>
        <v>-24996.995892611798</v>
      </c>
      <c r="L17" s="5">
        <f t="shared" si="2"/>
        <v>624849803.65525115</v>
      </c>
    </row>
    <row r="18" spans="1:21" x14ac:dyDescent="0.3">
      <c r="A18" s="2">
        <v>6700</v>
      </c>
      <c r="B18" s="2">
        <v>6</v>
      </c>
      <c r="C18" s="2">
        <v>1</v>
      </c>
      <c r="D18" s="2">
        <v>0</v>
      </c>
      <c r="E18" s="10">
        <v>1100276.2931747711</v>
      </c>
      <c r="H18" s="5"/>
      <c r="I18" s="5"/>
      <c r="J18" s="5">
        <f t="shared" si="1"/>
        <v>1067434.5470066168</v>
      </c>
      <c r="K18" s="5">
        <f t="shared" si="0"/>
        <v>32841.746168154292</v>
      </c>
      <c r="L18" s="5">
        <f t="shared" si="2"/>
        <v>1078580291.3734772</v>
      </c>
    </row>
    <row r="19" spans="1:21" x14ac:dyDescent="0.3">
      <c r="A19" s="2">
        <v>1400</v>
      </c>
      <c r="B19" s="2">
        <v>4</v>
      </c>
      <c r="C19" s="2">
        <v>1</v>
      </c>
      <c r="D19" s="2">
        <v>0</v>
      </c>
      <c r="E19" s="10">
        <v>227802.85110723344</v>
      </c>
      <c r="H19" s="5"/>
      <c r="I19" s="5"/>
      <c r="J19" s="5">
        <f t="shared" si="1"/>
        <v>243821.74199186021</v>
      </c>
      <c r="K19" s="5">
        <f t="shared" si="0"/>
        <v>-16018.890884626773</v>
      </c>
      <c r="L19" s="5">
        <f t="shared" si="2"/>
        <v>256604865.17357871</v>
      </c>
    </row>
    <row r="20" spans="1:21" x14ac:dyDescent="0.3">
      <c r="A20" s="2">
        <v>1800</v>
      </c>
      <c r="B20" s="2">
        <v>9</v>
      </c>
      <c r="C20" s="2">
        <v>1</v>
      </c>
      <c r="D20" s="2">
        <v>0</v>
      </c>
      <c r="E20" s="10">
        <v>331313.58002463821</v>
      </c>
      <c r="H20" s="5"/>
      <c r="I20" s="5"/>
      <c r="J20" s="5">
        <f t="shared" si="1"/>
        <v>292234.77255726431</v>
      </c>
      <c r="K20" s="5">
        <f t="shared" si="0"/>
        <v>39078.807467373903</v>
      </c>
      <c r="L20" s="5">
        <f t="shared" si="2"/>
        <v>1527153193.0720782</v>
      </c>
    </row>
    <row r="21" spans="1:21" x14ac:dyDescent="0.3">
      <c r="A21" s="2">
        <v>2200</v>
      </c>
      <c r="B21" s="2">
        <v>11</v>
      </c>
      <c r="C21" s="2">
        <v>1</v>
      </c>
      <c r="D21" s="2">
        <v>0</v>
      </c>
      <c r="E21" s="10">
        <v>343535.42397229467</v>
      </c>
      <c r="H21" s="5"/>
      <c r="I21" s="5"/>
      <c r="J21" s="5">
        <f t="shared" si="1"/>
        <v>349152.40156732919</v>
      </c>
      <c r="K21" s="5">
        <f t="shared" si="0"/>
        <v>-5616.9775950345211</v>
      </c>
      <c r="L21" s="5">
        <f t="shared" si="2"/>
        <v>31550437.303119794</v>
      </c>
    </row>
    <row r="22" spans="1:21" x14ac:dyDescent="0.3">
      <c r="A22" s="2">
        <v>2800</v>
      </c>
      <c r="B22" s="2">
        <v>0</v>
      </c>
      <c r="C22" s="2">
        <v>1</v>
      </c>
      <c r="D22" s="2">
        <v>0</v>
      </c>
      <c r="E22" s="10">
        <v>470491.96852766909</v>
      </c>
      <c r="H22" s="5"/>
      <c r="I22" s="5"/>
      <c r="J22" s="5">
        <f t="shared" si="1"/>
        <v>474216.97115751036</v>
      </c>
      <c r="K22" s="5">
        <f t="shared" si="0"/>
        <v>-3725.0026298412704</v>
      </c>
      <c r="L22" s="5">
        <f t="shared" si="2"/>
        <v>13875644.59232438</v>
      </c>
    </row>
    <row r="24" spans="1:21" x14ac:dyDescent="0.3">
      <c r="H24" s="4"/>
      <c r="I24" s="5"/>
      <c r="J24" s="5">
        <f>SUM(J3:J23)</f>
        <v>10129925.828025538</v>
      </c>
      <c r="K24" s="5">
        <f>SUM(K3:K23)</f>
        <v>123444.94943372309</v>
      </c>
      <c r="L24" s="5"/>
    </row>
    <row r="25" spans="1:21" x14ac:dyDescent="0.3">
      <c r="H25" s="4"/>
    </row>
    <row r="27" spans="1:21" x14ac:dyDescent="0.3">
      <c r="J27" s="27"/>
      <c r="K27" s="4"/>
      <c r="L27" s="4">
        <f>SUM(L3:L22)</f>
        <v>11130387464.68119</v>
      </c>
      <c r="M27" s="26" t="s">
        <v>55</v>
      </c>
    </row>
    <row r="28" spans="1:21" x14ac:dyDescent="0.3">
      <c r="J28" s="11"/>
      <c r="L28" s="4">
        <f>L27/(COUNT(L3:L22)-2)</f>
        <v>618354859.14895499</v>
      </c>
      <c r="M28" s="6" t="s">
        <v>56</v>
      </c>
    </row>
    <row r="29" spans="1:21" x14ac:dyDescent="0.3">
      <c r="J29" s="7"/>
      <c r="L29" s="4">
        <f>SQRT(L28)</f>
        <v>24866.742029243698</v>
      </c>
      <c r="M29" s="6" t="s">
        <v>57</v>
      </c>
    </row>
    <row r="30" spans="1:21" x14ac:dyDescent="0.3">
      <c r="A30" s="24" t="s">
        <v>49</v>
      </c>
      <c r="B30" s="13"/>
      <c r="J30" s="8"/>
    </row>
    <row r="31" spans="1:21" x14ac:dyDescent="0.3">
      <c r="A31" s="40" t="s">
        <v>69</v>
      </c>
      <c r="J31" s="8"/>
    </row>
    <row r="32" spans="1:21" x14ac:dyDescent="0.3">
      <c r="A32" s="1" t="s">
        <v>3</v>
      </c>
      <c r="B32" s="13">
        <v>1500</v>
      </c>
      <c r="C32" s="13">
        <v>2500</v>
      </c>
      <c r="D32" s="13">
        <v>5000</v>
      </c>
      <c r="E32" s="13">
        <v>4700</v>
      </c>
      <c r="F32" s="13">
        <v>3500</v>
      </c>
      <c r="G32" s="13">
        <v>1000</v>
      </c>
      <c r="H32" s="13">
        <v>1500</v>
      </c>
      <c r="I32" s="13">
        <v>1600</v>
      </c>
      <c r="J32" s="13">
        <v>2000</v>
      </c>
      <c r="K32" s="13">
        <v>3000</v>
      </c>
      <c r="L32" s="13">
        <v>3600</v>
      </c>
      <c r="M32" s="13">
        <v>4100</v>
      </c>
      <c r="N32" s="13">
        <v>4300</v>
      </c>
      <c r="O32" s="13">
        <v>6000</v>
      </c>
      <c r="P32" s="13">
        <v>8000</v>
      </c>
      <c r="Q32" s="13">
        <v>6700</v>
      </c>
      <c r="R32" s="13">
        <v>1400</v>
      </c>
      <c r="S32" s="13">
        <v>1800</v>
      </c>
      <c r="T32" s="13">
        <v>2200</v>
      </c>
      <c r="U32" s="13">
        <v>2800</v>
      </c>
    </row>
    <row r="33" spans="1:21" x14ac:dyDescent="0.3">
      <c r="A33" s="1" t="s">
        <v>2</v>
      </c>
      <c r="B33" s="13">
        <v>20</v>
      </c>
      <c r="C33" s="13">
        <v>0</v>
      </c>
      <c r="D33" s="13">
        <v>14</v>
      </c>
      <c r="E33" s="13">
        <v>12</v>
      </c>
      <c r="F33" s="13">
        <v>5</v>
      </c>
      <c r="G33" s="13">
        <v>25</v>
      </c>
      <c r="H33" s="13">
        <v>4</v>
      </c>
      <c r="I33" s="13">
        <v>3</v>
      </c>
      <c r="J33" s="13">
        <v>1</v>
      </c>
      <c r="K33" s="13">
        <v>0</v>
      </c>
      <c r="L33" s="13">
        <v>10</v>
      </c>
      <c r="M33" s="13">
        <v>35</v>
      </c>
      <c r="N33" s="13">
        <v>22</v>
      </c>
      <c r="O33" s="13">
        <v>12</v>
      </c>
      <c r="P33" s="13">
        <v>28</v>
      </c>
      <c r="Q33" s="13">
        <v>6</v>
      </c>
      <c r="R33" s="13">
        <v>4</v>
      </c>
      <c r="S33" s="13">
        <v>9</v>
      </c>
      <c r="T33" s="13">
        <v>11</v>
      </c>
      <c r="U33" s="13">
        <v>0</v>
      </c>
    </row>
    <row r="34" spans="1:21" x14ac:dyDescent="0.3">
      <c r="A34" s="1" t="s">
        <v>13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1</v>
      </c>
      <c r="H34" s="13">
        <v>0</v>
      </c>
      <c r="I34" s="13">
        <v>0</v>
      </c>
      <c r="J34" s="13">
        <v>1</v>
      </c>
      <c r="K34" s="13">
        <v>1</v>
      </c>
      <c r="L34" s="13">
        <v>0</v>
      </c>
      <c r="M34" s="13">
        <v>0</v>
      </c>
      <c r="N34" s="13">
        <v>0</v>
      </c>
      <c r="O34" s="13">
        <v>1</v>
      </c>
      <c r="P34" s="13">
        <v>0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</row>
    <row r="35" spans="1:21" x14ac:dyDescent="0.3">
      <c r="A35" s="1" t="s">
        <v>14</v>
      </c>
      <c r="B35" s="13">
        <v>1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>
        <v>1</v>
      </c>
      <c r="I35" s="13">
        <v>0</v>
      </c>
      <c r="J35" s="13">
        <v>0</v>
      </c>
      <c r="K35" s="13">
        <v>0</v>
      </c>
      <c r="L35" s="13">
        <v>1</v>
      </c>
      <c r="M35" s="13">
        <v>1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</row>
    <row r="36" spans="1:2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2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2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21" x14ac:dyDescent="0.3">
      <c r="A39" s="29" t="s">
        <v>70</v>
      </c>
      <c r="B39" s="28"/>
      <c r="C39" s="28"/>
      <c r="D39" s="28"/>
      <c r="E39" s="13"/>
      <c r="F39" s="30" t="s">
        <v>71</v>
      </c>
      <c r="G39" s="31"/>
      <c r="H39" s="31"/>
      <c r="I39" s="31"/>
      <c r="J39" s="13"/>
      <c r="K39" s="1" t="s">
        <v>54</v>
      </c>
      <c r="L39" s="13"/>
      <c r="M39" s="13"/>
      <c r="N39" s="29" t="s">
        <v>63</v>
      </c>
      <c r="O39" s="29"/>
      <c r="P39" s="29"/>
      <c r="Q39" s="29"/>
    </row>
    <row r="40" spans="1:21" x14ac:dyDescent="0.3">
      <c r="A40" s="13">
        <f t="array" ref="A40:D43">MMULT(B32:U35,A3:D22)</f>
        <v>297680000</v>
      </c>
      <c r="B40" s="13">
        <v>868000</v>
      </c>
      <c r="C40" s="13">
        <v>26900</v>
      </c>
      <c r="D40" s="13">
        <v>17500</v>
      </c>
      <c r="E40" s="13"/>
      <c r="F40" s="21">
        <f t="array" ref="F40:I43">MINVERSE(A40:D43)</f>
        <v>9.7295202406800454E-9</v>
      </c>
      <c r="G40" s="21">
        <v>-1.5460763665752683E-6</v>
      </c>
      <c r="H40" s="21">
        <v>-1.7398989060797223E-5</v>
      </c>
      <c r="I40" s="21">
        <v>-4.9289424755919036E-6</v>
      </c>
      <c r="J40" s="13"/>
      <c r="K40" s="8">
        <f t="array" ref="K40:K43">MMULT(B32:U35,E3:E22)</f>
        <v>45260211464.64505</v>
      </c>
      <c r="L40" s="13"/>
      <c r="M40" s="13"/>
      <c r="N40" s="23">
        <f t="array" ref="N40:Q43">MMULT(F40:I43,K40:K43)</f>
        <v>157.24596033059925</v>
      </c>
      <c r="O40" s="22">
        <v>157.24596033059925</v>
      </c>
      <c r="P40" s="22">
        <v>157.24596033059925</v>
      </c>
      <c r="Q40" s="22">
        <v>157.24596033059925</v>
      </c>
    </row>
    <row r="41" spans="1:21" x14ac:dyDescent="0.3">
      <c r="A41" s="13">
        <v>868000</v>
      </c>
      <c r="B41" s="13">
        <v>4407</v>
      </c>
      <c r="C41" s="13">
        <v>68</v>
      </c>
      <c r="D41" s="13">
        <v>91</v>
      </c>
      <c r="E41" s="13"/>
      <c r="F41" s="21">
        <v>-1.5460763665752679E-6</v>
      </c>
      <c r="G41" s="21">
        <v>6.4360233294085746E-4</v>
      </c>
      <c r="H41" s="21">
        <v>-2.4172270878928883E-4</v>
      </c>
      <c r="I41" s="21">
        <v>-5.2519126470918064E-3</v>
      </c>
      <c r="J41" s="13"/>
      <c r="K41" s="8">
        <v>125878773.4672204</v>
      </c>
      <c r="L41" s="13"/>
      <c r="M41" s="13"/>
      <c r="N41" s="23">
        <v>-2806.1478936773092</v>
      </c>
      <c r="O41" s="22">
        <v>-2806.1478936773092</v>
      </c>
      <c r="P41" s="22">
        <v>-2806.1478936773092</v>
      </c>
      <c r="Q41" s="22">
        <v>-2806.1478936773092</v>
      </c>
    </row>
    <row r="42" spans="1:21" x14ac:dyDescent="0.3">
      <c r="A42" s="13">
        <v>26900</v>
      </c>
      <c r="B42" s="13">
        <v>68</v>
      </c>
      <c r="C42" s="13">
        <v>9</v>
      </c>
      <c r="D42" s="13">
        <v>0</v>
      </c>
      <c r="E42" s="13"/>
      <c r="F42" s="21">
        <v>-1.7398989060797223E-5</v>
      </c>
      <c r="G42" s="21">
        <v>-2.4172270878928867E-4</v>
      </c>
      <c r="H42" s="21">
        <v>0.16494110554812411</v>
      </c>
      <c r="I42" s="21">
        <v>5.4413179177296128E-2</v>
      </c>
      <c r="K42" s="8">
        <v>4396728.3551364383</v>
      </c>
      <c r="N42" s="22">
        <v>39736.675445930567</v>
      </c>
      <c r="O42" s="22">
        <v>39736.675445930567</v>
      </c>
      <c r="P42" s="22">
        <v>39736.675445930567</v>
      </c>
      <c r="Q42" s="22">
        <v>39736.675445930567</v>
      </c>
    </row>
    <row r="43" spans="1:21" x14ac:dyDescent="0.3">
      <c r="A43" s="13">
        <v>17500</v>
      </c>
      <c r="B43" s="13">
        <v>91</v>
      </c>
      <c r="C43" s="13">
        <v>0</v>
      </c>
      <c r="D43" s="13">
        <v>6</v>
      </c>
      <c r="F43" s="25">
        <v>-4.928942475591907E-6</v>
      </c>
      <c r="G43" s="25">
        <v>-5.2519126470918047E-3</v>
      </c>
      <c r="H43" s="21">
        <v>5.4413179177296121E-2</v>
      </c>
      <c r="I43" s="21">
        <v>0.26069675736803544</v>
      </c>
      <c r="K43" s="8">
        <v>2434063.2916832399</v>
      </c>
      <c r="N43" s="22">
        <v>-10396.925962935085</v>
      </c>
      <c r="O43" s="22">
        <v>-10396.925962935085</v>
      </c>
      <c r="P43" s="22">
        <v>-10396.925962935085</v>
      </c>
      <c r="Q43" s="22">
        <v>-10396.925962935085</v>
      </c>
    </row>
    <row r="47" spans="1:21" x14ac:dyDescent="0.3">
      <c r="A47" s="39" t="s">
        <v>60</v>
      </c>
      <c r="B47" s="39"/>
      <c r="C47" s="39"/>
    </row>
    <row r="48" spans="1:21" x14ac:dyDescent="0.3">
      <c r="A48" s="29" t="s">
        <v>61</v>
      </c>
      <c r="B48" s="29"/>
      <c r="C48" s="29"/>
      <c r="D48" s="29"/>
    </row>
    <row r="49" spans="1:9" x14ac:dyDescent="0.3">
      <c r="A49" s="33">
        <f>F40*$L$28</f>
        <v>6.0162961180126162</v>
      </c>
      <c r="B49" s="23">
        <f t="shared" ref="B49:D49" si="3">G40*$L$28</f>
        <v>-956.02383388717817</v>
      </c>
      <c r="C49" s="23">
        <f t="shared" si="3"/>
        <v>-10758.749430023476</v>
      </c>
      <c r="D49" s="23">
        <f t="shared" si="3"/>
        <v>-3047.8355302479331</v>
      </c>
    </row>
    <row r="50" spans="1:9" x14ac:dyDescent="0.3">
      <c r="A50" s="23">
        <f t="shared" ref="A50:A52" si="4">F41*$L$28</f>
        <v>-956.02383388717783</v>
      </c>
      <c r="B50" s="33">
        <f t="shared" ref="B50:B52" si="5">G41*$L$28</f>
        <v>397974.62993358274</v>
      </c>
      <c r="C50" s="23">
        <f t="shared" ref="C50:C52" si="6">H41*$L$28</f>
        <v>-149470.41154650456</v>
      </c>
      <c r="D50" s="23">
        <f t="shared" ref="D50:D52" si="7">I41*$L$28</f>
        <v>-3247545.7051550695</v>
      </c>
    </row>
    <row r="51" spans="1:9" x14ac:dyDescent="0.3">
      <c r="A51" s="23">
        <f t="shared" si="4"/>
        <v>-10758.749430023476</v>
      </c>
      <c r="B51" s="23">
        <f t="shared" si="5"/>
        <v>-149470.41154650445</v>
      </c>
      <c r="C51" s="33">
        <f t="shared" si="6"/>
        <v>101992134.08908319</v>
      </c>
      <c r="D51" s="23">
        <f t="shared" si="7"/>
        <v>33646653.746023796</v>
      </c>
    </row>
    <row r="52" spans="1:9" x14ac:dyDescent="0.3">
      <c r="A52" s="23">
        <f t="shared" si="4"/>
        <v>-3047.8355302479354</v>
      </c>
      <c r="B52" s="23">
        <f t="shared" si="5"/>
        <v>-3247545.7051550681</v>
      </c>
      <c r="C52" s="23">
        <f t="shared" si="6"/>
        <v>33646653.746023796</v>
      </c>
      <c r="D52" s="33">
        <f t="shared" si="7"/>
        <v>161203106.68290085</v>
      </c>
    </row>
    <row r="55" spans="1:9" x14ac:dyDescent="0.3">
      <c r="A55" s="29" t="s">
        <v>62</v>
      </c>
      <c r="B55" s="28"/>
      <c r="C55" s="28"/>
      <c r="D55" s="28"/>
      <c r="E55" s="28"/>
    </row>
    <row r="56" spans="1:9" x14ac:dyDescent="0.3">
      <c r="A56" s="2" t="s">
        <v>58</v>
      </c>
      <c r="B56" s="10">
        <v>157.24596033059925</v>
      </c>
      <c r="C56" s="10">
        <v>-2806.1478936773092</v>
      </c>
      <c r="D56" s="10">
        <v>39736.675445930567</v>
      </c>
      <c r="E56" s="10">
        <v>-10396.925962935085</v>
      </c>
    </row>
    <row r="57" spans="1:9" x14ac:dyDescent="0.3">
      <c r="A57" s="2" t="s">
        <v>59</v>
      </c>
      <c r="B57" s="32">
        <f>B56/SQRT(A49)</f>
        <v>64.108393692125659</v>
      </c>
      <c r="C57" s="32">
        <f>C56/SQRT(B50)</f>
        <v>-4.448185215814175</v>
      </c>
      <c r="D57" s="32">
        <f>D56/SQRT(C51)</f>
        <v>3.9346688732945472</v>
      </c>
      <c r="E57" s="32">
        <f>E56/SQRT(D52)</f>
        <v>-0.8188761978850162</v>
      </c>
    </row>
    <row r="58" spans="1:9" x14ac:dyDescent="0.3">
      <c r="B58" s="42">
        <f>B56/B57</f>
        <v>2.4528139183420774</v>
      </c>
      <c r="C58" s="42">
        <f t="shared" ref="C58:E58" si="8">C56/C57</f>
        <v>630.85230437368045</v>
      </c>
      <c r="D58" s="42">
        <f t="shared" si="8"/>
        <v>10099.115510235695</v>
      </c>
      <c r="E58" s="42">
        <f t="shared" si="8"/>
        <v>12696.578542383017</v>
      </c>
    </row>
    <row r="61" spans="1:9" x14ac:dyDescent="0.3">
      <c r="A61" s="29" t="s">
        <v>73</v>
      </c>
      <c r="B61" s="29"/>
      <c r="C61" s="29"/>
    </row>
    <row r="62" spans="1:9" x14ac:dyDescent="0.3">
      <c r="A62" s="24" t="s">
        <v>3</v>
      </c>
      <c r="B62" s="24" t="s">
        <v>2</v>
      </c>
      <c r="C62" s="24" t="s">
        <v>72</v>
      </c>
      <c r="D62" s="24" t="s">
        <v>13</v>
      </c>
      <c r="E62" s="24" t="s">
        <v>14</v>
      </c>
      <c r="F62" s="24" t="s">
        <v>50</v>
      </c>
      <c r="G62" s="24" t="s">
        <v>51</v>
      </c>
      <c r="H62" s="24" t="s">
        <v>52</v>
      </c>
      <c r="I62" s="24" t="s">
        <v>74</v>
      </c>
    </row>
    <row r="63" spans="1:9" ht="15" thickBot="1" x14ac:dyDescent="0.35">
      <c r="A63" s="2">
        <v>3500</v>
      </c>
      <c r="B63" s="2">
        <v>10</v>
      </c>
      <c r="C63" s="2">
        <v>3</v>
      </c>
      <c r="D63" s="2">
        <v>0</v>
      </c>
      <c r="E63" s="2">
        <v>0</v>
      </c>
      <c r="F63" s="4">
        <v>156.46840326626361</v>
      </c>
      <c r="G63" s="4">
        <v>-2834.8661482202724</v>
      </c>
      <c r="H63" s="9">
        <v>36105.442011972234</v>
      </c>
      <c r="I63" s="41">
        <f>(A63*F63)+(B63*G63)</f>
        <v>519290.74994971987</v>
      </c>
    </row>
    <row r="64" spans="1:9" ht="15" thickTop="1" x14ac:dyDescent="0.3"/>
  </sheetData>
  <mergeCells count="8">
    <mergeCell ref="N39:Q39"/>
    <mergeCell ref="A61:C61"/>
    <mergeCell ref="A1:D1"/>
    <mergeCell ref="A39:D39"/>
    <mergeCell ref="F39:I39"/>
    <mergeCell ref="A48:D48"/>
    <mergeCell ref="A55:E55"/>
    <mergeCell ref="A47:C4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1-A</vt:lpstr>
      <vt:lpstr>1-B &amp; C</vt:lpstr>
      <vt:lpstr>1-D</vt:lpstr>
      <vt:lpstr>1E,F,G,H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Alcendor Group</cp:lastModifiedBy>
  <dcterms:created xsi:type="dcterms:W3CDTF">2020-09-03T00:56:35Z</dcterms:created>
  <dcterms:modified xsi:type="dcterms:W3CDTF">2020-09-14T16:00:16Z</dcterms:modified>
</cp:coreProperties>
</file>