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iwa-my.sharepoint.com/personal/hamish_biggs_niwa_co_nz/Documents/Papers/2022 Drone flow user guide/Github info/"/>
    </mc:Choice>
  </mc:AlternateContent>
  <xr:revisionPtr revIDLastSave="44" documentId="13_ncr:1_{513C00D1-6BD0-4735-91AC-A3774A56FD91}" xr6:coauthVersionLast="45" xr6:coauthVersionMax="45" xr10:uidLastSave="{00AD3453-B9A1-4EB5-975A-80AF9AE79088}"/>
  <bookViews>
    <workbookView xWindow="38280" yWindow="-120" windowWidth="29040" windowHeight="15840" xr2:uid="{EE54101F-C7A1-4057-83FC-39A4CA7251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6" i="1" l="1"/>
  <c r="F25" i="1"/>
  <c r="F24" i="1"/>
  <c r="F11" i="1"/>
  <c r="F29" i="1" s="1"/>
  <c r="F10" i="1"/>
  <c r="F28" i="1" s="1"/>
  <c r="F31" i="1" l="1"/>
  <c r="F27" i="1"/>
  <c r="F33" i="1"/>
  <c r="F34" i="1" s="1"/>
  <c r="F32" i="1"/>
  <c r="F30" i="1"/>
  <c r="K26" i="1"/>
  <c r="K25" i="1"/>
  <c r="K24" i="1"/>
  <c r="K11" i="1"/>
  <c r="K10" i="1"/>
  <c r="K29" i="1" l="1"/>
  <c r="K33" i="1" s="1"/>
  <c r="K34" i="1" s="1"/>
  <c r="K28" i="1"/>
  <c r="K31" i="1" s="1"/>
  <c r="J26" i="1"/>
  <c r="J25" i="1"/>
  <c r="J24" i="1"/>
  <c r="J11" i="1"/>
  <c r="J29" i="1" s="1"/>
  <c r="J30" i="1" s="1"/>
  <c r="J10" i="1"/>
  <c r="J28" i="1" s="1"/>
  <c r="J31" i="1" s="1"/>
  <c r="K32" i="1" l="1"/>
  <c r="K30" i="1"/>
  <c r="K27" i="1"/>
  <c r="J32" i="1"/>
  <c r="J33" i="1"/>
  <c r="J34" i="1" s="1"/>
  <c r="J27" i="1"/>
  <c r="M9" i="1"/>
  <c r="M11" i="1" s="1"/>
  <c r="M8" i="1"/>
  <c r="M10" i="1" s="1"/>
  <c r="M26" i="1"/>
  <c r="M25" i="1"/>
  <c r="M24" i="1"/>
  <c r="L9" i="1"/>
  <c r="L11" i="1" s="1"/>
  <c r="L8" i="1"/>
  <c r="L10" i="1" s="1"/>
  <c r="L26" i="1"/>
  <c r="L25" i="1"/>
  <c r="L24" i="1"/>
  <c r="M29" i="1" l="1"/>
  <c r="M32" i="1" s="1"/>
  <c r="L29" i="1"/>
  <c r="L30" i="1" s="1"/>
  <c r="M28" i="1"/>
  <c r="M27" i="1" s="1"/>
  <c r="L28" i="1"/>
  <c r="L27" i="1" s="1"/>
  <c r="G10" i="1"/>
  <c r="G11" i="1"/>
  <c r="G29" i="1" s="1"/>
  <c r="G24" i="1"/>
  <c r="G25" i="1"/>
  <c r="G26" i="1"/>
  <c r="M33" i="1" l="1"/>
  <c r="M34" i="1" s="1"/>
  <c r="M30" i="1"/>
  <c r="M31" i="1"/>
  <c r="L33" i="1"/>
  <c r="L34" i="1" s="1"/>
  <c r="L32" i="1"/>
  <c r="L31" i="1"/>
  <c r="G28" i="1"/>
  <c r="G27" i="1" s="1"/>
  <c r="G30" i="1"/>
  <c r="G33" i="1"/>
  <c r="G34" i="1" s="1"/>
  <c r="G32" i="1"/>
  <c r="N20" i="1"/>
  <c r="G31" i="1" l="1"/>
  <c r="D26" i="1"/>
  <c r="D25" i="1"/>
  <c r="D24" i="1"/>
  <c r="D11" i="1"/>
  <c r="D29" i="1" s="1"/>
  <c r="D10" i="1"/>
  <c r="D28" i="1" s="1"/>
  <c r="N10" i="1"/>
  <c r="N28" i="1" s="1"/>
  <c r="N27" i="1" s="1"/>
  <c r="N24" i="1"/>
  <c r="N25" i="1"/>
  <c r="N26" i="1"/>
  <c r="D30" i="1" l="1"/>
  <c r="N11" i="1"/>
  <c r="D27" i="1"/>
  <c r="D31" i="1"/>
  <c r="D32" i="1"/>
  <c r="D33" i="1"/>
  <c r="D34" i="1" s="1"/>
  <c r="N31" i="1"/>
  <c r="C24" i="1"/>
  <c r="E24" i="1"/>
  <c r="H24" i="1"/>
  <c r="I24" i="1"/>
  <c r="C25" i="1"/>
  <c r="E25" i="1"/>
  <c r="H25" i="1"/>
  <c r="I25" i="1"/>
  <c r="C26" i="1"/>
  <c r="E26" i="1"/>
  <c r="H26" i="1"/>
  <c r="I26" i="1"/>
  <c r="B25" i="1"/>
  <c r="B26" i="1"/>
  <c r="H9" i="1"/>
  <c r="H11" i="1" s="1"/>
  <c r="H28" i="1" s="1"/>
  <c r="H27" i="1" s="1"/>
  <c r="C10" i="1"/>
  <c r="C28" i="1" s="1"/>
  <c r="E10" i="1"/>
  <c r="E28" i="1" s="1"/>
  <c r="E31" i="1" s="1"/>
  <c r="H10" i="1"/>
  <c r="H29" i="1" s="1"/>
  <c r="H32" i="1" s="1"/>
  <c r="I10" i="1"/>
  <c r="C11" i="1"/>
  <c r="C29" i="1" s="1"/>
  <c r="C32" i="1" s="1"/>
  <c r="E11" i="1"/>
  <c r="E29" i="1" s="1"/>
  <c r="E32" i="1" s="1"/>
  <c r="I11" i="1"/>
  <c r="B11" i="1"/>
  <c r="B29" i="1" s="1"/>
  <c r="B10" i="1"/>
  <c r="B28" i="1" s="1"/>
  <c r="B24" i="1"/>
  <c r="B30" i="1" l="1"/>
  <c r="I28" i="1"/>
  <c r="I31" i="1" s="1"/>
  <c r="I29" i="1"/>
  <c r="I30" i="1" s="1"/>
  <c r="N29" i="1"/>
  <c r="C27" i="1"/>
  <c r="C31" i="1"/>
  <c r="H30" i="1"/>
  <c r="H33" i="1"/>
  <c r="H34" i="1" s="1"/>
  <c r="H31" i="1"/>
  <c r="B32" i="1"/>
  <c r="B33" i="1"/>
  <c r="B34" i="1" s="1"/>
  <c r="C33" i="1"/>
  <c r="C34" i="1" s="1"/>
  <c r="C30" i="1"/>
  <c r="E30" i="1"/>
  <c r="E27" i="1"/>
  <c r="E33" i="1"/>
  <c r="E34" i="1" s="1"/>
  <c r="B27" i="1"/>
  <c r="B31" i="1"/>
  <c r="I27" i="1" l="1"/>
  <c r="I32" i="1"/>
  <c r="I33" i="1"/>
  <c r="I34" i="1" s="1"/>
  <c r="N30" i="1"/>
  <c r="N33" i="1"/>
  <c r="N34" i="1" s="1"/>
  <c r="N32" i="1"/>
</calcChain>
</file>

<file path=xl/sharedStrings.xml><?xml version="1.0" encoding="utf-8"?>
<sst xmlns="http://schemas.openxmlformats.org/spreadsheetml/2006/main" count="90" uniqueCount="68">
  <si>
    <t>Phantom RGB</t>
  </si>
  <si>
    <t>Pixels wide</t>
  </si>
  <si>
    <t>Pixels high</t>
  </si>
  <si>
    <t>Launch site altitude (m)</t>
  </si>
  <si>
    <t>Desired altitude AGL (m)</t>
  </si>
  <si>
    <t>Front overlap (%)</t>
  </si>
  <si>
    <t>Side overlap (%)</t>
  </si>
  <si>
    <t>X4S RGB</t>
  </si>
  <si>
    <t>X5S RGB</t>
  </si>
  <si>
    <t>Mapir Survey 3W RGN</t>
  </si>
  <si>
    <t>Airphen Multispec</t>
  </si>
  <si>
    <t>Hyperspec</t>
  </si>
  <si>
    <t>Image format</t>
  </si>
  <si>
    <t>Notes</t>
  </si>
  <si>
    <t>3 to 2</t>
  </si>
  <si>
    <t>Altitude to set AGL (m)</t>
  </si>
  <si>
    <t>Notes:</t>
  </si>
  <si>
    <t>Rivers are sloping, takeoff points are on river banks and altitude of aircraft is referenced to barometric pressure. Thus altitude AGL is only a close indicator of ground sample distance. This is an example of why GCPs and proper data processing with SfM software to get georeferenced orthomosaics with constant ground sample distance is critical.</t>
  </si>
  <si>
    <t>4 to 3</t>
  </si>
  <si>
    <t>Max frame rate (Hz)</t>
  </si>
  <si>
    <t>Min image interval (s)</t>
  </si>
  <si>
    <t>General</t>
  </si>
  <si>
    <t>Image hortizontal footprint (m)</t>
  </si>
  <si>
    <t>Horizontal FOV (degrees) [if known]</t>
  </si>
  <si>
    <t>Vertical FOV (degrees)  [if known]</t>
  </si>
  <si>
    <t>Variables
[Do Edit]</t>
  </si>
  <si>
    <t>Outputs
[Don’t Edit]</t>
  </si>
  <si>
    <t>Same specs as Phantom!</t>
  </si>
  <si>
    <t>Diagonal FOV (degrees) [if known]</t>
  </si>
  <si>
    <t>Calculated HFOV (degrees)</t>
  </si>
  <si>
    <t>Calculated VFOV (degrees)</t>
  </si>
  <si>
    <t>Ground sample distance (cm)</t>
  </si>
  <si>
    <t>Image vertical footprint (m)</t>
  </si>
  <si>
    <t>Image interval to use (s)</t>
  </si>
  <si>
    <t>Flight speed to use (m/s)</t>
  </si>
  <si>
    <t>Flight speed for [Image interval to use] (m/s)</t>
  </si>
  <si>
    <t>Camera landscape (L) or Portrait (P)*</t>
  </si>
  <si>
    <t>*Landscape vs portrait</t>
  </si>
  <si>
    <t>This is how the camera is oriented when flying. It is critical to enter whether a camera is in portrait or landscape mode. The aircraft should be flown so as to maintain a constant orientation.</t>
  </si>
  <si>
    <t>L</t>
  </si>
  <si>
    <t>Max flight speed(m/s)</t>
  </si>
  <si>
    <t>P</t>
  </si>
  <si>
    <t>Hyperspectral Camera</t>
  </si>
  <si>
    <t>5 to 4</t>
  </si>
  <si>
    <t>900 to 1</t>
  </si>
  <si>
    <t>The 8mm lens has a 36.5 degree horizontal FOV. The 23 mm lens has a 13.1 degree horizontal FOV. Vertical FOV of 1 pixel calculated.</t>
  </si>
  <si>
    <t>Distance between flight lines (m)</t>
  </si>
  <si>
    <t>Camera Mega Pixels (MP)</t>
  </si>
  <si>
    <t>X5 RGB</t>
  </si>
  <si>
    <t>Olympus M.Zuiko Digital ED 12mm f/2.0</t>
  </si>
  <si>
    <t>Panasonic Lumix G Leica DG Summilux 15mm f/1.7 ASPH</t>
  </si>
  <si>
    <t>Perfect correspondence with DJI Ground Station Pro and Resonon Airborne Calculator.</t>
  </si>
  <si>
    <t>Calculator for camera field of view, ground sample distance, flight speed and image interval</t>
  </si>
  <si>
    <t>Designed for cameras in timelapse mode and independently setting UAV flight parameters</t>
  </si>
  <si>
    <t>Image interval for [Flight speed to use] (s)</t>
  </si>
  <si>
    <t>Image framerate for [Flight speed to use] (Hz)</t>
  </si>
  <si>
    <t>SONY A5100 RGB</t>
  </si>
  <si>
    <t>VOIGTLANDER 15MM 4.5 E SUPER WIDE</t>
  </si>
  <si>
    <t>~6 to 5</t>
  </si>
  <si>
    <t>XTR Thermal</t>
  </si>
  <si>
    <t>T1010 Thermal</t>
  </si>
  <si>
    <t>Stereo 35mm</t>
  </si>
  <si>
    <t>Stereo 12mm</t>
  </si>
  <si>
    <t>Olympus M.Zuiko Digital 45mm F1.8</t>
  </si>
  <si>
    <t>Setup hyperspec as a custom camera in DJI Ground Station Pro. Sensor res width: 900, Sensor res height: 900, Sensor width: 5.3, Sensor height: 5.3, Focus length: 8, 35mm Equivalent: No, Min Shutter interval 0.01 (defaults to 1 though), Max shutter interval: 20.  Validated by ground sample distance comparison with Resonon Airborne Flight Calculator and this spreadsheet.</t>
  </si>
  <si>
    <t>Constants
[Edit with care]</t>
  </si>
  <si>
    <t>Validation of calculator</t>
  </si>
  <si>
    <t>In DJI Ground Station Pro adjust the frontal overlap on the hyperspec to get the required flight speed. Side overlap is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</si>
</sst>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1">
    <xf numFmtId="0" fontId="0" fillId="0" borderId="0" xfId="0"/>
    <xf numFmtId="0" fontId="2" fillId="0" borderId="0" xfId="0" applyNumberFormat="1" applyFont="1" applyProtection="1"/>
    <xf numFmtId="0" fontId="0" fillId="0" borderId="0" xfId="0" applyNumberFormat="1" applyProtection="1"/>
    <xf numFmtId="0" fontId="1" fillId="0" borderId="0" xfId="0" applyNumberFormat="1" applyFont="1" applyProtection="1"/>
    <xf numFmtId="0" fontId="0" fillId="0" borderId="23" xfId="0" applyNumberFormat="1" applyBorder="1" applyProtection="1"/>
    <xf numFmtId="0" fontId="0" fillId="0" borderId="3" xfId="0" applyNumberFormat="1" applyBorder="1" applyProtection="1"/>
    <xf numFmtId="0" fontId="0" fillId="0" borderId="4" xfId="0" applyNumberFormat="1" applyBorder="1" applyProtection="1"/>
    <xf numFmtId="0" fontId="0" fillId="0" borderId="5" xfId="0" applyNumberFormat="1" applyBorder="1" applyProtection="1"/>
    <xf numFmtId="0" fontId="0" fillId="0" borderId="22" xfId="0" applyNumberFormat="1" applyBorder="1" applyProtection="1"/>
    <xf numFmtId="0" fontId="0" fillId="0" borderId="6" xfId="0" applyNumberFormat="1" applyBorder="1" applyProtection="1"/>
    <xf numFmtId="0" fontId="0" fillId="0" borderId="1" xfId="0" applyNumberFormat="1" applyBorder="1" applyProtection="1"/>
    <xf numFmtId="0" fontId="0" fillId="0" borderId="7" xfId="0" applyNumberFormat="1" applyBorder="1" applyProtection="1"/>
    <xf numFmtId="0" fontId="0" fillId="0" borderId="1" xfId="0" applyNumberFormat="1" applyBorder="1" applyAlignment="1" applyProtection="1">
      <alignment wrapText="1"/>
    </xf>
    <xf numFmtId="0" fontId="0" fillId="0" borderId="24" xfId="0" applyNumberFormat="1" applyBorder="1" applyProtection="1"/>
    <xf numFmtId="0" fontId="0" fillId="0" borderId="8" xfId="0" applyNumberFormat="1" applyBorder="1" applyProtection="1"/>
    <xf numFmtId="0" fontId="0" fillId="0" borderId="9" xfId="0" applyNumberFormat="1" applyBorder="1" applyProtection="1"/>
    <xf numFmtId="0" fontId="0" fillId="0" borderId="10" xfId="0" applyNumberFormat="1" applyBorder="1" applyProtection="1"/>
    <xf numFmtId="0" fontId="0" fillId="0" borderId="14" xfId="0" applyNumberFormat="1" applyBorder="1" applyProtection="1"/>
    <xf numFmtId="0" fontId="0" fillId="0" borderId="15" xfId="0" applyNumberFormat="1" applyBorder="1" applyProtection="1"/>
    <xf numFmtId="0" fontId="0" fillId="0" borderId="25" xfId="0" applyNumberFormat="1" applyBorder="1" applyProtection="1"/>
    <xf numFmtId="0" fontId="0" fillId="0" borderId="26" xfId="0" applyNumberFormat="1" applyBorder="1" applyProtection="1"/>
    <xf numFmtId="0" fontId="0" fillId="0" borderId="2" xfId="0" applyNumberFormat="1" applyBorder="1" applyProtection="1"/>
    <xf numFmtId="0" fontId="0" fillId="0" borderId="27" xfId="0" applyNumberFormat="1" applyBorder="1" applyProtection="1"/>
    <xf numFmtId="0" fontId="0" fillId="0" borderId="16" xfId="0" applyNumberFormat="1" applyBorder="1" applyProtection="1"/>
    <xf numFmtId="0" fontId="0" fillId="0" borderId="17" xfId="0" applyNumberFormat="1" applyBorder="1" applyProtection="1"/>
    <xf numFmtId="0" fontId="0" fillId="0" borderId="18" xfId="0" applyNumberFormat="1" applyBorder="1" applyProtection="1"/>
    <xf numFmtId="0" fontId="0" fillId="0" borderId="19" xfId="0" applyNumberFormat="1" applyBorder="1" applyProtection="1"/>
    <xf numFmtId="0" fontId="0" fillId="0" borderId="20" xfId="0" applyNumberFormat="1" applyBorder="1" applyProtection="1"/>
    <xf numFmtId="0" fontId="0" fillId="0" borderId="0" xfId="0" applyNumberFormat="1" applyFill="1" applyBorder="1" applyProtection="1"/>
    <xf numFmtId="0" fontId="0" fillId="0" borderId="0" xfId="0" applyNumberFormat="1" applyAlignment="1" applyProtection="1">
      <alignment wrapText="1"/>
    </xf>
    <xf numFmtId="0" fontId="0" fillId="0" borderId="11" xfId="0" applyNumberFormat="1" applyBorder="1" applyAlignment="1" applyProtection="1">
      <alignment wrapText="1"/>
    </xf>
    <xf numFmtId="0" fontId="0" fillId="0" borderId="12" xfId="0" applyNumberFormat="1" applyBorder="1" applyAlignment="1" applyProtection="1">
      <alignment wrapText="1"/>
    </xf>
    <xf numFmtId="0" fontId="0" fillId="0" borderId="13" xfId="0" applyNumberFormat="1" applyBorder="1" applyAlignment="1" applyProtection="1">
      <alignment wrapText="1"/>
    </xf>
    <xf numFmtId="0" fontId="1" fillId="0" borderId="0" xfId="0" applyNumberFormat="1" applyFont="1" applyAlignment="1" applyProtection="1">
      <alignment wrapText="1"/>
    </xf>
    <xf numFmtId="0" fontId="0" fillId="0" borderId="0" xfId="0" applyNumberFormat="1" applyAlignment="1" applyProtection="1">
      <alignment wrapText="1"/>
    </xf>
    <xf numFmtId="0" fontId="0" fillId="0" borderId="0" xfId="0" applyNumberFormat="1" applyAlignment="1" applyProtection="1">
      <alignment wrapText="1"/>
    </xf>
    <xf numFmtId="0" fontId="0" fillId="0" borderId="0" xfId="0" applyNumberFormat="1" applyAlignment="1" applyProtection="1">
      <alignment wrapText="1"/>
    </xf>
    <xf numFmtId="0" fontId="0" fillId="0" borderId="0" xfId="0" applyNumberFormat="1" applyAlignment="1" applyProtection="1">
      <alignment wrapText="1"/>
    </xf>
    <xf numFmtId="0" fontId="0" fillId="0" borderId="0" xfId="0" applyNumberFormat="1" applyAlignment="1" applyProtection="1">
      <alignment wrapText="1"/>
    </xf>
    <xf numFmtId="0" fontId="0" fillId="0" borderId="0" xfId="0" applyNumberFormat="1" applyAlignment="1" applyProtection="1">
      <alignment horizontal="left" wrapText="1"/>
    </xf>
    <xf numFmtId="0" fontId="0" fillId="0" borderId="0" xfId="0" applyNumberFormat="1" applyBorder="1" applyAlignment="1" applyProtection="1">
      <alignment horizontal="center" vertical="center" textRotation="90" wrapText="1"/>
    </xf>
    <xf numFmtId="0" fontId="0" fillId="0" borderId="0" xfId="0" applyNumberFormat="1" applyBorder="1" applyAlignment="1" applyProtection="1">
      <alignment horizontal="center" vertical="center" textRotation="90"/>
    </xf>
    <xf numFmtId="0" fontId="0" fillId="0" borderId="21" xfId="0" applyNumberFormat="1" applyBorder="1" applyAlignment="1" applyProtection="1">
      <alignment horizontal="center" vertical="center" textRotation="90" wrapText="1"/>
    </xf>
    <xf numFmtId="0" fontId="0" fillId="0" borderId="21" xfId="0" applyNumberFormat="1" applyBorder="1" applyAlignment="1" applyProtection="1">
      <alignment horizontal="center" vertical="center" textRotation="90"/>
    </xf>
    <xf numFmtId="0" fontId="0" fillId="0" borderId="12" xfId="0" applyNumberFormat="1" applyFill="1" applyBorder="1" applyAlignment="1" applyProtection="1">
      <alignment wrapText="1"/>
    </xf>
    <xf numFmtId="0" fontId="0" fillId="0" borderId="4" xfId="0" applyNumberFormat="1" applyFill="1" applyBorder="1" applyProtection="1"/>
    <xf numFmtId="0" fontId="0" fillId="0" borderId="1" xfId="0" applyNumberFormat="1" applyFill="1" applyBorder="1" applyProtection="1"/>
    <xf numFmtId="0" fontId="0" fillId="0" borderId="1" xfId="0" applyNumberFormat="1" applyFill="1" applyBorder="1" applyAlignment="1" applyProtection="1">
      <alignment wrapText="1"/>
    </xf>
    <xf numFmtId="0" fontId="0" fillId="0" borderId="9" xfId="0" applyNumberFormat="1" applyFill="1" applyBorder="1" applyProtection="1"/>
    <xf numFmtId="0" fontId="0" fillId="0" borderId="2" xfId="0" applyNumberFormat="1" applyFill="1" applyBorder="1" applyProtection="1"/>
    <xf numFmtId="0" fontId="0" fillId="0" borderId="19" xfId="0" applyNumberFormat="1" applyFill="1" applyBorder="1" applyProtection="1"/>
  </cellXfs>
  <cellStyles count="1">
    <cellStyle name="Normal" xfId="0" builtinId="0"/>
  </cellStyles>
  <dxfs count="0"/>
  <tableStyles count="0" defaultTableStyle="TableStyleMedium2" defaultPivotStyle="PivotStyleLight16"/>
  <colors>
    <mruColors>
      <color rgb="FF2FFF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8D20-28B4-45DB-96D3-68B411A5A2DC}">
  <dimension ref="A1:P42"/>
  <sheetViews>
    <sheetView tabSelected="1" workbookViewId="0">
      <selection activeCell="G16" sqref="G16"/>
    </sheetView>
  </sheetViews>
  <sheetFormatPr defaultRowHeight="15" x14ac:dyDescent="0.25"/>
  <cols>
    <col min="1" max="1" width="41.7109375" style="2" customWidth="1"/>
    <col min="2" max="2" width="9.42578125" style="2" customWidth="1"/>
    <col min="3" max="3" width="9.85546875" style="2" customWidth="1"/>
    <col min="4" max="4" width="10.140625" style="2" customWidth="1"/>
    <col min="5" max="6" width="13.28515625" style="2" customWidth="1"/>
    <col min="7" max="7" width="11.5703125" style="2" customWidth="1"/>
    <col min="8" max="8" width="12.85546875" style="2" customWidth="1"/>
    <col min="9" max="9" width="10.7109375" style="2" customWidth="1"/>
    <col min="10" max="10" width="8.5703125" style="2" customWidth="1"/>
    <col min="11" max="11" width="9" style="2" customWidth="1"/>
    <col min="12" max="12" width="8.140625" style="2" customWidth="1"/>
    <col min="13" max="13" width="8.42578125" style="2" customWidth="1"/>
    <col min="14" max="14" width="11" style="2" customWidth="1"/>
    <col min="15" max="15" width="9.140625" style="2"/>
    <col min="16" max="16" width="24.140625" style="2" customWidth="1"/>
    <col min="17" max="17" width="25.7109375" style="2" customWidth="1"/>
    <col min="18" max="18" width="22.42578125" style="2" customWidth="1"/>
    <col min="19" max="19" width="18.7109375" style="2" customWidth="1"/>
    <col min="20" max="20" width="17.28515625" style="2" customWidth="1"/>
    <col min="21" max="22" width="9.140625" style="2"/>
    <col min="23" max="23" width="25.7109375" style="2" customWidth="1"/>
    <col min="24" max="24" width="13.42578125" style="2" customWidth="1"/>
    <col min="25" max="26" width="19.5703125" style="2" customWidth="1"/>
    <col min="27" max="27" width="18.140625" style="2" customWidth="1"/>
    <col min="28" max="16384" width="9.140625" style="2"/>
  </cols>
  <sheetData>
    <row r="1" spans="1:15" ht="23.25" x14ac:dyDescent="0.35">
      <c r="A1" s="1" t="s">
        <v>52</v>
      </c>
    </row>
    <row r="2" spans="1:15" x14ac:dyDescent="0.25">
      <c r="A2" s="3" t="s">
        <v>53</v>
      </c>
    </row>
    <row r="3" spans="1:15" ht="15.75" thickBot="1" x14ac:dyDescent="0.3"/>
    <row r="4" spans="1:15" s="29" customFormat="1" ht="30.75" thickBot="1" x14ac:dyDescent="0.3">
      <c r="B4" s="30" t="s">
        <v>0</v>
      </c>
      <c r="C4" s="31" t="s">
        <v>7</v>
      </c>
      <c r="D4" s="31" t="s">
        <v>48</v>
      </c>
      <c r="E4" s="31" t="s">
        <v>8</v>
      </c>
      <c r="F4" s="31" t="s">
        <v>8</v>
      </c>
      <c r="G4" s="44" t="s">
        <v>56</v>
      </c>
      <c r="H4" s="31" t="s">
        <v>9</v>
      </c>
      <c r="I4" s="31" t="s">
        <v>10</v>
      </c>
      <c r="J4" s="31" t="s">
        <v>59</v>
      </c>
      <c r="K4" s="31" t="s">
        <v>60</v>
      </c>
      <c r="L4" s="31" t="s">
        <v>61</v>
      </c>
      <c r="M4" s="44" t="s">
        <v>62</v>
      </c>
      <c r="N4" s="32" t="s">
        <v>11</v>
      </c>
    </row>
    <row r="5" spans="1:15" x14ac:dyDescent="0.25">
      <c r="A5" s="4" t="s">
        <v>1</v>
      </c>
      <c r="B5" s="5">
        <v>5472</v>
      </c>
      <c r="C5" s="6">
        <v>5472</v>
      </c>
      <c r="D5" s="6">
        <v>4608</v>
      </c>
      <c r="E5" s="6">
        <v>5280</v>
      </c>
      <c r="F5" s="6">
        <v>5280</v>
      </c>
      <c r="G5" s="45">
        <v>6000</v>
      </c>
      <c r="H5" s="6">
        <v>4000</v>
      </c>
      <c r="I5" s="6">
        <v>1280</v>
      </c>
      <c r="J5" s="6">
        <v>640</v>
      </c>
      <c r="K5" s="6">
        <v>1024</v>
      </c>
      <c r="L5" s="6">
        <v>2448</v>
      </c>
      <c r="M5" s="45">
        <v>2448</v>
      </c>
      <c r="N5" s="7">
        <v>900</v>
      </c>
      <c r="O5" s="40" t="s">
        <v>65</v>
      </c>
    </row>
    <row r="6" spans="1:15" x14ac:dyDescent="0.25">
      <c r="A6" s="8" t="s">
        <v>2</v>
      </c>
      <c r="B6" s="9">
        <v>3648</v>
      </c>
      <c r="C6" s="10">
        <v>3648</v>
      </c>
      <c r="D6" s="10">
        <v>3456</v>
      </c>
      <c r="E6" s="10">
        <v>3956</v>
      </c>
      <c r="F6" s="10">
        <v>3956</v>
      </c>
      <c r="G6" s="46">
        <v>4000</v>
      </c>
      <c r="H6" s="10">
        <v>3000</v>
      </c>
      <c r="I6" s="10">
        <v>960</v>
      </c>
      <c r="J6" s="10">
        <v>512</v>
      </c>
      <c r="K6" s="10">
        <v>768</v>
      </c>
      <c r="L6" s="10">
        <v>2048</v>
      </c>
      <c r="M6" s="46">
        <v>2048</v>
      </c>
      <c r="N6" s="11">
        <v>1</v>
      </c>
      <c r="O6" s="41"/>
    </row>
    <row r="7" spans="1:15" x14ac:dyDescent="0.25">
      <c r="A7" s="8" t="s">
        <v>28</v>
      </c>
      <c r="B7" s="9">
        <v>84</v>
      </c>
      <c r="C7" s="10">
        <v>84</v>
      </c>
      <c r="D7" s="10">
        <v>84</v>
      </c>
      <c r="E7" s="10">
        <v>72</v>
      </c>
      <c r="F7" s="10">
        <v>27</v>
      </c>
      <c r="G7" s="46">
        <v>110</v>
      </c>
      <c r="H7" s="10"/>
      <c r="I7" s="10">
        <v>41.1</v>
      </c>
      <c r="J7" s="10"/>
      <c r="K7" s="10"/>
      <c r="L7" s="10"/>
      <c r="M7" s="46"/>
      <c r="N7" s="11"/>
      <c r="O7" s="41"/>
    </row>
    <row r="8" spans="1:15" x14ac:dyDescent="0.25">
      <c r="A8" s="8" t="s">
        <v>23</v>
      </c>
      <c r="B8" s="9"/>
      <c r="C8" s="10"/>
      <c r="D8" s="10"/>
      <c r="E8" s="10"/>
      <c r="F8" s="10"/>
      <c r="G8" s="46"/>
      <c r="H8" s="10">
        <v>87</v>
      </c>
      <c r="I8" s="10">
        <v>33.4</v>
      </c>
      <c r="J8" s="10">
        <v>69</v>
      </c>
      <c r="K8" s="10">
        <v>28</v>
      </c>
      <c r="L8" s="10">
        <f>2*DEGREES(ATAN((25142.86/2)/100000))</f>
        <v>14.33061907738499</v>
      </c>
      <c r="M8" s="46">
        <f>2*DEGREES(ATAN((73333.33/2)/100000))</f>
        <v>40.272605172976782</v>
      </c>
      <c r="N8" s="11">
        <v>36.5</v>
      </c>
      <c r="O8" s="41"/>
    </row>
    <row r="9" spans="1:15" x14ac:dyDescent="0.25">
      <c r="A9" s="8" t="s">
        <v>24</v>
      </c>
      <c r="B9" s="9"/>
      <c r="C9" s="10"/>
      <c r="D9" s="10"/>
      <c r="E9" s="10"/>
      <c r="F9" s="10"/>
      <c r="G9" s="46"/>
      <c r="H9" s="10">
        <f>2*ATAN((H6/2)/((H5/2)/TAN(H8*(PI()/180)/2)))*180/PI()</f>
        <v>70.880697984647441</v>
      </c>
      <c r="I9" s="10">
        <v>25.4</v>
      </c>
      <c r="J9" s="10">
        <v>56</v>
      </c>
      <c r="K9" s="10">
        <v>21</v>
      </c>
      <c r="L9" s="10">
        <f>2*DEGREES(ATAN((18857.14/2)/100000))</f>
        <v>10.772498917978703</v>
      </c>
      <c r="M9" s="46">
        <f>2*DEGREES(ATAN((55000/2)/100000))</f>
        <v>30.75250249765238</v>
      </c>
      <c r="N9" s="11"/>
      <c r="O9" s="41"/>
    </row>
    <row r="10" spans="1:15" x14ac:dyDescent="0.25">
      <c r="A10" s="8" t="s">
        <v>29</v>
      </c>
      <c r="B10" s="9">
        <f>IF(B7="",B8,2*ATAN((B5/2)/((SQRT(B5^2+B6^2)/2)/TAN(B7*(PI()/180)/2)))*(180/PI()))</f>
        <v>73.679740398108947</v>
      </c>
      <c r="C10" s="10">
        <f t="shared" ref="C10:I10" si="0">IF(C7="",C8,2*ATAN((C5/2)/((SQRT(C5^2+C6^2)/2)/TAN(C7*(PI()/180)/2)))*(180/PI()))</f>
        <v>73.679740398108947</v>
      </c>
      <c r="D10" s="10">
        <f t="shared" ref="D10" si="1">IF(D7="",D8,2*ATAN((D5/2)/((SQRT(D5^2+D6^2)/2)/TAN(D7*(PI()/180)/2)))*(180/PI()))</f>
        <v>71.532164903947205</v>
      </c>
      <c r="E10" s="10">
        <f t="shared" si="0"/>
        <v>60.351325512095798</v>
      </c>
      <c r="F10" s="10">
        <f t="shared" ref="F10" si="2">IF(F7="",F8,2*ATAN((F5/2)/((SQRT(F5^2+F6^2)/2)/TAN(F7*(PI()/180)/2)))*(180/PI()))</f>
        <v>21.75173269015691</v>
      </c>
      <c r="G10" s="46">
        <f t="shared" ref="G10" si="3">IF(G7="",G8,2*ATAN((G5/2)/((SQRT(G5^2+G6^2)/2)/TAN(G7*(PI()/180)/2)))*(180/PI()))</f>
        <v>99.835777117739923</v>
      </c>
      <c r="H10" s="10">
        <f t="shared" si="0"/>
        <v>87</v>
      </c>
      <c r="I10" s="10">
        <f t="shared" si="0"/>
        <v>33.388367016991808</v>
      </c>
      <c r="J10" s="10">
        <f t="shared" ref="J10:K10" si="4">IF(J7="",J8,2*ATAN((J5/2)/((SQRT(J5^2+J6^2)/2)/TAN(J7*(PI()/180)/2)))*(180/PI()))</f>
        <v>69</v>
      </c>
      <c r="K10" s="10">
        <f t="shared" si="4"/>
        <v>28</v>
      </c>
      <c r="L10" s="10">
        <f t="shared" ref="L10:M10" si="5">IF(L7="",L8,2*ATAN((L5/2)/((SQRT(L5^2+L6^2)/2)/TAN(L7*(PI()/180)/2)))*(180/PI()))</f>
        <v>14.33061907738499</v>
      </c>
      <c r="M10" s="46">
        <f t="shared" si="5"/>
        <v>40.272605172976782</v>
      </c>
      <c r="N10" s="11">
        <f>N8</f>
        <v>36.5</v>
      </c>
      <c r="O10" s="41"/>
    </row>
    <row r="11" spans="1:15" x14ac:dyDescent="0.25">
      <c r="A11" s="8" t="s">
        <v>30</v>
      </c>
      <c r="B11" s="9">
        <f>IF(B7="",B9,2*ATAN((B6/2)/((SQRT(B5^2+B6^2)/2)/TAN(B7*(PI()/180)/2)))*(180/PI()))</f>
        <v>53.080065349201121</v>
      </c>
      <c r="C11" s="10">
        <f t="shared" ref="C11:I11" si="6">IF(C7="",C9,2*ATAN((C6/2)/((SQRT(C5^2+C6^2)/2)/TAN(C7*(PI()/180)/2)))*(180/PI()))</f>
        <v>53.080065349201121</v>
      </c>
      <c r="D11" s="10">
        <f t="shared" ref="D11" si="7">IF(D7="",D9,2*ATAN((D6/2)/((SQRT(D5^2+D6^2)/2)/TAN(D7*(PI()/180)/2)))*(180/PI()))</f>
        <v>56.759598644091483</v>
      </c>
      <c r="E11" s="10">
        <f t="shared" si="6"/>
        <v>47.080077407882854</v>
      </c>
      <c r="F11" s="10">
        <f t="shared" ref="F11" si="8">IF(F7="",F9,2*ATAN((F6/2)/((SQRT(F5^2+F6^2)/2)/TAN(F7*(PI()/180)/2)))*(180/PI()))</f>
        <v>16.383371845928494</v>
      </c>
      <c r="G11" s="46">
        <f t="shared" ref="G11" si="9">IF(G7="",G9,2*ATAN((G6/2)/((SQRT(G5^2+G6^2)/2)/TAN(G7*(PI()/180)/2)))*(180/PI()))</f>
        <v>76.772106543363591</v>
      </c>
      <c r="H11" s="10">
        <f t="shared" si="6"/>
        <v>70.880697984647441</v>
      </c>
      <c r="I11" s="10">
        <f t="shared" si="6"/>
        <v>25.352891485818859</v>
      </c>
      <c r="J11" s="10">
        <f t="shared" ref="J11:K11" si="10">IF(J7="",J9,2*ATAN((J6/2)/((SQRT(J5^2+J6^2)/2)/TAN(J7*(PI()/180)/2)))*(180/PI()))</f>
        <v>56</v>
      </c>
      <c r="K11" s="10">
        <f t="shared" si="10"/>
        <v>21</v>
      </c>
      <c r="L11" s="10">
        <f t="shared" ref="L11:M11" si="11">IF(L7="",L9,2*ATAN((L6/2)/((SQRT(L5^2+L6^2)/2)/TAN(L7*(PI()/180)/2)))*(180/PI()))</f>
        <v>10.772498917978703</v>
      </c>
      <c r="M11" s="46">
        <f t="shared" si="11"/>
        <v>30.75250249765238</v>
      </c>
      <c r="N11" s="11">
        <f>2*(180/PI())*ATAN(TAN((N10/2)*PI()/180)*0.5/450)</f>
        <v>4.1985141772998003E-2</v>
      </c>
      <c r="O11" s="41"/>
    </row>
    <row r="12" spans="1:15" x14ac:dyDescent="0.25">
      <c r="A12" s="8" t="s">
        <v>12</v>
      </c>
      <c r="B12" s="9" t="s">
        <v>14</v>
      </c>
      <c r="C12" s="10" t="s">
        <v>14</v>
      </c>
      <c r="D12" s="10" t="s">
        <v>18</v>
      </c>
      <c r="E12" s="10" t="s">
        <v>18</v>
      </c>
      <c r="F12" s="10" t="s">
        <v>18</v>
      </c>
      <c r="G12" s="46" t="s">
        <v>14</v>
      </c>
      <c r="H12" s="10" t="s">
        <v>18</v>
      </c>
      <c r="I12" s="10" t="s">
        <v>18</v>
      </c>
      <c r="J12" s="10" t="s">
        <v>43</v>
      </c>
      <c r="K12" s="10" t="s">
        <v>18</v>
      </c>
      <c r="L12" s="10" t="s">
        <v>58</v>
      </c>
      <c r="M12" s="46" t="s">
        <v>58</v>
      </c>
      <c r="N12" s="11" t="s">
        <v>44</v>
      </c>
      <c r="O12" s="41"/>
    </row>
    <row r="13" spans="1:15" x14ac:dyDescent="0.25">
      <c r="A13" s="8" t="s">
        <v>19</v>
      </c>
      <c r="B13" s="9">
        <v>0.5</v>
      </c>
      <c r="C13" s="10">
        <v>0.5</v>
      </c>
      <c r="D13" s="10">
        <v>0.5</v>
      </c>
      <c r="E13" s="10">
        <v>0.5</v>
      </c>
      <c r="F13" s="10">
        <v>0.5</v>
      </c>
      <c r="G13" s="46">
        <v>1</v>
      </c>
      <c r="H13" s="10">
        <v>0.5</v>
      </c>
      <c r="I13" s="10">
        <v>1</v>
      </c>
      <c r="J13" s="10">
        <v>0.5</v>
      </c>
      <c r="K13" s="10">
        <v>0.2</v>
      </c>
      <c r="L13" s="10">
        <v>10</v>
      </c>
      <c r="M13" s="46">
        <v>10</v>
      </c>
      <c r="N13" s="11">
        <v>249</v>
      </c>
      <c r="O13" s="41"/>
    </row>
    <row r="14" spans="1:15" ht="73.5" customHeight="1" x14ac:dyDescent="0.25">
      <c r="A14" s="8" t="s">
        <v>13</v>
      </c>
      <c r="B14" s="9"/>
      <c r="C14" s="12" t="s">
        <v>27</v>
      </c>
      <c r="D14" s="12" t="s">
        <v>49</v>
      </c>
      <c r="E14" s="12" t="s">
        <v>50</v>
      </c>
      <c r="F14" s="12" t="s">
        <v>63</v>
      </c>
      <c r="G14" s="47" t="s">
        <v>57</v>
      </c>
      <c r="H14" s="10"/>
      <c r="I14" s="10"/>
      <c r="J14" s="12"/>
      <c r="K14" s="12"/>
      <c r="L14" s="10"/>
      <c r="M14" s="46"/>
      <c r="N14" s="11"/>
      <c r="O14" s="41"/>
    </row>
    <row r="15" spans="1:15" ht="15.75" thickBot="1" x14ac:dyDescent="0.3">
      <c r="A15" s="13"/>
      <c r="B15" s="14"/>
      <c r="C15" s="15"/>
      <c r="D15" s="15"/>
      <c r="E15" s="15"/>
      <c r="F15" s="15"/>
      <c r="G15" s="48"/>
      <c r="H15" s="15"/>
      <c r="I15" s="15"/>
      <c r="J15" s="15"/>
      <c r="K15" s="15"/>
      <c r="L15" s="15"/>
      <c r="M15" s="48"/>
      <c r="N15" s="16"/>
      <c r="O15" s="41"/>
    </row>
    <row r="16" spans="1:15" x14ac:dyDescent="0.25">
      <c r="A16" s="17" t="s">
        <v>3</v>
      </c>
      <c r="B16" s="5">
        <v>0</v>
      </c>
      <c r="C16" s="6">
        <v>0</v>
      </c>
      <c r="D16" s="6">
        <v>0</v>
      </c>
      <c r="E16" s="6">
        <v>0</v>
      </c>
      <c r="F16" s="6">
        <v>0</v>
      </c>
      <c r="G16" s="45">
        <v>0</v>
      </c>
      <c r="H16" s="6">
        <v>0</v>
      </c>
      <c r="I16" s="6">
        <v>0</v>
      </c>
      <c r="J16" s="6">
        <v>0</v>
      </c>
      <c r="K16" s="6">
        <v>0</v>
      </c>
      <c r="L16" s="6">
        <v>0</v>
      </c>
      <c r="M16" s="45">
        <v>0</v>
      </c>
      <c r="N16" s="7">
        <v>0</v>
      </c>
      <c r="O16" s="42" t="s">
        <v>25</v>
      </c>
    </row>
    <row r="17" spans="1:16" x14ac:dyDescent="0.25">
      <c r="A17" s="18" t="s">
        <v>4</v>
      </c>
      <c r="B17" s="9">
        <v>60</v>
      </c>
      <c r="C17" s="10">
        <v>60</v>
      </c>
      <c r="D17" s="10">
        <v>60</v>
      </c>
      <c r="E17" s="46">
        <v>80</v>
      </c>
      <c r="F17" s="46">
        <v>80</v>
      </c>
      <c r="G17" s="46">
        <v>80</v>
      </c>
      <c r="H17" s="10">
        <v>60</v>
      </c>
      <c r="I17" s="10">
        <v>60</v>
      </c>
      <c r="J17" s="10">
        <v>120</v>
      </c>
      <c r="K17" s="10">
        <v>120</v>
      </c>
      <c r="L17" s="10">
        <v>20</v>
      </c>
      <c r="M17" s="46">
        <v>50</v>
      </c>
      <c r="N17" s="11">
        <v>100</v>
      </c>
      <c r="O17" s="43"/>
    </row>
    <row r="18" spans="1:16" x14ac:dyDescent="0.25">
      <c r="A18" s="18" t="s">
        <v>5</v>
      </c>
      <c r="B18" s="9">
        <v>80</v>
      </c>
      <c r="C18" s="10">
        <v>80</v>
      </c>
      <c r="D18" s="10">
        <v>80</v>
      </c>
      <c r="E18" s="10">
        <v>80</v>
      </c>
      <c r="F18" s="10">
        <v>80</v>
      </c>
      <c r="G18" s="46">
        <v>84</v>
      </c>
      <c r="H18" s="10">
        <v>80</v>
      </c>
      <c r="I18" s="10">
        <v>80</v>
      </c>
      <c r="J18" s="10">
        <v>80</v>
      </c>
      <c r="K18" s="10">
        <v>80</v>
      </c>
      <c r="L18" s="10">
        <v>80</v>
      </c>
      <c r="M18" s="46">
        <v>80</v>
      </c>
      <c r="N18" s="11">
        <v>0</v>
      </c>
      <c r="O18" s="43"/>
    </row>
    <row r="19" spans="1:16" x14ac:dyDescent="0.25">
      <c r="A19" s="18" t="s">
        <v>6</v>
      </c>
      <c r="B19" s="9">
        <v>60</v>
      </c>
      <c r="C19" s="10">
        <v>60</v>
      </c>
      <c r="D19" s="10">
        <v>60</v>
      </c>
      <c r="E19" s="10">
        <v>60</v>
      </c>
      <c r="F19" s="10">
        <v>60</v>
      </c>
      <c r="G19" s="46">
        <v>68.400000000000006</v>
      </c>
      <c r="H19" s="10">
        <v>60</v>
      </c>
      <c r="I19" s="10">
        <v>60</v>
      </c>
      <c r="J19" s="10">
        <v>60</v>
      </c>
      <c r="K19" s="10">
        <v>60</v>
      </c>
      <c r="L19" s="10">
        <v>60</v>
      </c>
      <c r="M19" s="46">
        <v>60</v>
      </c>
      <c r="N19" s="11">
        <v>50</v>
      </c>
      <c r="O19" s="43"/>
    </row>
    <row r="20" spans="1:16" x14ac:dyDescent="0.25">
      <c r="A20" s="19" t="s">
        <v>33</v>
      </c>
      <c r="B20" s="20">
        <v>2</v>
      </c>
      <c r="C20" s="21">
        <v>3</v>
      </c>
      <c r="D20" s="21">
        <v>3</v>
      </c>
      <c r="E20" s="21">
        <v>2</v>
      </c>
      <c r="F20" s="21">
        <v>2</v>
      </c>
      <c r="G20" s="49">
        <v>2</v>
      </c>
      <c r="H20" s="21">
        <v>2</v>
      </c>
      <c r="I20" s="21">
        <v>1</v>
      </c>
      <c r="J20" s="21">
        <v>2</v>
      </c>
      <c r="K20" s="21">
        <v>5</v>
      </c>
      <c r="L20" s="21">
        <v>0.5</v>
      </c>
      <c r="M20" s="49">
        <v>1</v>
      </c>
      <c r="N20" s="22">
        <f>1/100</f>
        <v>0.01</v>
      </c>
      <c r="O20" s="43"/>
    </row>
    <row r="21" spans="1:16" x14ac:dyDescent="0.25">
      <c r="A21" s="19" t="s">
        <v>34</v>
      </c>
      <c r="B21" s="20">
        <v>6</v>
      </c>
      <c r="C21" s="21">
        <v>6</v>
      </c>
      <c r="D21" s="21">
        <v>6</v>
      </c>
      <c r="E21" s="21">
        <v>5</v>
      </c>
      <c r="F21" s="21">
        <v>5</v>
      </c>
      <c r="G21" s="49">
        <v>10</v>
      </c>
      <c r="H21" s="21">
        <v>5</v>
      </c>
      <c r="I21" s="21">
        <v>5</v>
      </c>
      <c r="J21" s="21">
        <v>6</v>
      </c>
      <c r="K21" s="21">
        <v>2.2999999999999998</v>
      </c>
      <c r="L21" s="21">
        <v>10</v>
      </c>
      <c r="M21" s="49">
        <v>10</v>
      </c>
      <c r="N21" s="22">
        <v>8</v>
      </c>
      <c r="O21" s="43"/>
    </row>
    <row r="22" spans="1:16" x14ac:dyDescent="0.25">
      <c r="A22" s="19" t="s">
        <v>36</v>
      </c>
      <c r="B22" s="20" t="s">
        <v>39</v>
      </c>
      <c r="C22" s="21" t="s">
        <v>39</v>
      </c>
      <c r="D22" s="21" t="s">
        <v>39</v>
      </c>
      <c r="E22" s="21" t="s">
        <v>39</v>
      </c>
      <c r="F22" s="21" t="s">
        <v>39</v>
      </c>
      <c r="G22" s="49" t="s">
        <v>39</v>
      </c>
      <c r="H22" s="21" t="s">
        <v>41</v>
      </c>
      <c r="I22" s="21" t="s">
        <v>39</v>
      </c>
      <c r="J22" s="21" t="s">
        <v>39</v>
      </c>
      <c r="K22" s="21" t="s">
        <v>41</v>
      </c>
      <c r="L22" s="21" t="s">
        <v>41</v>
      </c>
      <c r="M22" s="49" t="s">
        <v>39</v>
      </c>
      <c r="N22" s="22" t="s">
        <v>39</v>
      </c>
      <c r="O22" s="43"/>
    </row>
    <row r="23" spans="1:16" ht="15.75" thickBot="1" x14ac:dyDescent="0.3">
      <c r="A23" s="23"/>
      <c r="B23" s="14"/>
      <c r="C23" s="15"/>
      <c r="D23" s="15"/>
      <c r="E23" s="15"/>
      <c r="F23" s="15"/>
      <c r="G23" s="48"/>
      <c r="H23" s="15"/>
      <c r="I23" s="15"/>
      <c r="J23" s="15"/>
      <c r="K23" s="15"/>
      <c r="L23" s="15"/>
      <c r="M23" s="48"/>
      <c r="N23" s="16"/>
      <c r="O23" s="43"/>
    </row>
    <row r="24" spans="1:16" x14ac:dyDescent="0.25">
      <c r="A24" s="24" t="s">
        <v>15</v>
      </c>
      <c r="B24" s="25">
        <f t="shared" ref="B24:N24" si="12">B17-B16</f>
        <v>60</v>
      </c>
      <c r="C24" s="26">
        <f t="shared" si="12"/>
        <v>60</v>
      </c>
      <c r="D24" s="26">
        <f t="shared" si="12"/>
        <v>60</v>
      </c>
      <c r="E24" s="26">
        <f t="shared" si="12"/>
        <v>80</v>
      </c>
      <c r="F24" s="26">
        <f t="shared" ref="F24" si="13">F17-F16</f>
        <v>80</v>
      </c>
      <c r="G24" s="50">
        <f t="shared" ref="G24" si="14">G17-G16</f>
        <v>80</v>
      </c>
      <c r="H24" s="26">
        <f t="shared" si="12"/>
        <v>60</v>
      </c>
      <c r="I24" s="26">
        <f t="shared" si="12"/>
        <v>60</v>
      </c>
      <c r="J24" s="26">
        <f t="shared" ref="J24:K24" si="15">J17-J16</f>
        <v>120</v>
      </c>
      <c r="K24" s="26">
        <f t="shared" si="15"/>
        <v>120</v>
      </c>
      <c r="L24" s="26">
        <f t="shared" ref="L24:M24" si="16">L17-L16</f>
        <v>20</v>
      </c>
      <c r="M24" s="50">
        <f t="shared" si="16"/>
        <v>50</v>
      </c>
      <c r="N24" s="27">
        <f t="shared" si="12"/>
        <v>100</v>
      </c>
      <c r="O24" s="42" t="s">
        <v>26</v>
      </c>
    </row>
    <row r="25" spans="1:16" x14ac:dyDescent="0.25">
      <c r="A25" s="18" t="s">
        <v>20</v>
      </c>
      <c r="B25" s="9">
        <f t="shared" ref="B25:N25" si="17">1/B13</f>
        <v>2</v>
      </c>
      <c r="C25" s="10">
        <f t="shared" si="17"/>
        <v>2</v>
      </c>
      <c r="D25" s="10">
        <f t="shared" si="17"/>
        <v>2</v>
      </c>
      <c r="E25" s="10">
        <f t="shared" si="17"/>
        <v>2</v>
      </c>
      <c r="F25" s="10">
        <f t="shared" ref="F25" si="18">1/F13</f>
        <v>2</v>
      </c>
      <c r="G25" s="46">
        <f t="shared" ref="G25" si="19">1/G13</f>
        <v>1</v>
      </c>
      <c r="H25" s="10">
        <f t="shared" si="17"/>
        <v>2</v>
      </c>
      <c r="I25" s="10">
        <f t="shared" si="17"/>
        <v>1</v>
      </c>
      <c r="J25" s="10">
        <f t="shared" ref="J25:K25" si="20">1/J13</f>
        <v>2</v>
      </c>
      <c r="K25" s="10">
        <f t="shared" si="20"/>
        <v>5</v>
      </c>
      <c r="L25" s="10">
        <f t="shared" ref="L25:M25" si="21">1/L13</f>
        <v>0.1</v>
      </c>
      <c r="M25" s="46">
        <f t="shared" si="21"/>
        <v>0.1</v>
      </c>
      <c r="N25" s="11">
        <f t="shared" si="17"/>
        <v>4.0160642570281121E-3</v>
      </c>
      <c r="O25" s="43"/>
    </row>
    <row r="26" spans="1:16" x14ac:dyDescent="0.25">
      <c r="A26" s="18" t="s">
        <v>47</v>
      </c>
      <c r="B26" s="9">
        <f t="shared" ref="B26:N26" si="22">(B5*B6)/1000000</f>
        <v>19.961856000000001</v>
      </c>
      <c r="C26" s="10">
        <f t="shared" si="22"/>
        <v>19.961856000000001</v>
      </c>
      <c r="D26" s="10">
        <f t="shared" si="22"/>
        <v>15.925248</v>
      </c>
      <c r="E26" s="10">
        <f t="shared" si="22"/>
        <v>20.88768</v>
      </c>
      <c r="F26" s="10">
        <f t="shared" ref="F26" si="23">(F5*F6)/1000000</f>
        <v>20.88768</v>
      </c>
      <c r="G26" s="46">
        <f t="shared" ref="G26" si="24">(G5*G6)/1000000</f>
        <v>24</v>
      </c>
      <c r="H26" s="10">
        <f t="shared" si="22"/>
        <v>12</v>
      </c>
      <c r="I26" s="10">
        <f t="shared" si="22"/>
        <v>1.2287999999999999</v>
      </c>
      <c r="J26" s="10">
        <f t="shared" ref="J26:K26" si="25">(J5*J6)/1000000</f>
        <v>0.32768000000000003</v>
      </c>
      <c r="K26" s="10">
        <f t="shared" si="25"/>
        <v>0.78643200000000002</v>
      </c>
      <c r="L26" s="10">
        <f t="shared" ref="L26:M26" si="26">(L5*L6)/1000000</f>
        <v>5.0135040000000002</v>
      </c>
      <c r="M26" s="46">
        <f t="shared" si="26"/>
        <v>5.0135040000000002</v>
      </c>
      <c r="N26" s="11">
        <f t="shared" si="22"/>
        <v>8.9999999999999998E-4</v>
      </c>
      <c r="O26" s="43"/>
    </row>
    <row r="27" spans="1:16" x14ac:dyDescent="0.25">
      <c r="A27" s="18" t="s">
        <v>31</v>
      </c>
      <c r="B27" s="9">
        <f t="shared" ref="B27:N27" si="27">100*(B28/B5)</f>
        <v>1.6429417764934267</v>
      </c>
      <c r="C27" s="10">
        <f t="shared" si="27"/>
        <v>1.6429417764934267</v>
      </c>
      <c r="D27" s="10">
        <f t="shared" si="27"/>
        <v>1.8758417589538334</v>
      </c>
      <c r="E27" s="10">
        <f t="shared" si="27"/>
        <v>1.7619557234051983</v>
      </c>
      <c r="F27" s="10">
        <f t="shared" ref="F27" si="28">100*(F28/F5)</f>
        <v>0.58222076110334309</v>
      </c>
      <c r="G27" s="46">
        <f t="shared" ref="G27" si="29">100*(G28/G5)</f>
        <v>3.1687759183140827</v>
      </c>
      <c r="H27" s="10">
        <f t="shared" si="27"/>
        <v>2.1351702751084796</v>
      </c>
      <c r="I27" s="10">
        <f t="shared" si="27"/>
        <v>2.8115974393058232</v>
      </c>
      <c r="J27" s="10">
        <f t="shared" ref="J27:K27" si="30">100*(J28/J5)</f>
        <v>25.773035947560491</v>
      </c>
      <c r="K27" s="10">
        <f t="shared" si="30"/>
        <v>4.3438838655828373</v>
      </c>
      <c r="L27" s="10">
        <f t="shared" ref="L27:M27" si="31">100*(L28/L5)</f>
        <v>0.15406160130718954</v>
      </c>
      <c r="M27" s="46">
        <f t="shared" si="31"/>
        <v>1.4978212826797384</v>
      </c>
      <c r="N27" s="11">
        <f t="shared" si="27"/>
        <v>7.3277899364514818</v>
      </c>
      <c r="O27" s="43"/>
    </row>
    <row r="28" spans="1:16" x14ac:dyDescent="0.25">
      <c r="A28" s="18" t="s">
        <v>22</v>
      </c>
      <c r="B28" s="9">
        <f t="shared" ref="B28:N28" si="32">IF(B22="L",2*B17*TAN((PI()/180)*B10/2),IF(B22="P",2*B17*TAN((PI()/180)*B11/2),"ERROR"))</f>
        <v>89.901774009720313</v>
      </c>
      <c r="C28" s="10">
        <f t="shared" si="32"/>
        <v>89.901774009720313</v>
      </c>
      <c r="D28" s="10">
        <f t="shared" si="32"/>
        <v>86.438788252592644</v>
      </c>
      <c r="E28" s="10">
        <f t="shared" si="32"/>
        <v>93.031262195794469</v>
      </c>
      <c r="F28" s="10">
        <f t="shared" ref="F28" si="33">IF(F22="L",2*F17*TAN((PI()/180)*F10/2),IF(F22="P",2*F17*TAN((PI()/180)*F11/2),"ERROR"))</f>
        <v>30.741256186256514</v>
      </c>
      <c r="G28" s="46">
        <f t="shared" ref="G28" si="34">IF(G22="L",2*G17*TAN((PI()/180)*G10/2),IF(G22="P",2*G17*TAN((PI()/180)*G11/2),"ERROR"))</f>
        <v>190.12655509884496</v>
      </c>
      <c r="H28" s="10">
        <f t="shared" si="32"/>
        <v>85.406811004339175</v>
      </c>
      <c r="I28" s="10">
        <f t="shared" si="32"/>
        <v>35.988447223114541</v>
      </c>
      <c r="J28" s="10">
        <f t="shared" ref="J28:K28" si="35">IF(J22="L",2*J17*TAN((PI()/180)*J10/2),IF(J22="P",2*J17*TAN((PI()/180)*J11/2),"ERROR"))</f>
        <v>164.94743006438713</v>
      </c>
      <c r="K28" s="10">
        <f t="shared" si="35"/>
        <v>44.481370783568252</v>
      </c>
      <c r="L28" s="10">
        <f t="shared" ref="L28:M28" si="36">IF(L22="L",2*L17*TAN((PI()/180)*L10/2),IF(L22="P",2*L17*TAN((PI()/180)*L11/2),"ERROR"))</f>
        <v>3.7714280000000002</v>
      </c>
      <c r="M28" s="46">
        <f t="shared" si="36"/>
        <v>36.666664999999995</v>
      </c>
      <c r="N28" s="11">
        <f t="shared" si="32"/>
        <v>65.950109428063328</v>
      </c>
      <c r="O28" s="43"/>
    </row>
    <row r="29" spans="1:16" x14ac:dyDescent="0.25">
      <c r="A29" s="18" t="s">
        <v>32</v>
      </c>
      <c r="B29" s="9">
        <f t="shared" ref="B29:N29" si="37">IF(B22="L",2*B17*TAN((PI()/180)*B11/2),IF(B22="P",2*B17*TAN((PI()/180)*B10/2),"ERROR"))</f>
        <v>59.934516006480209</v>
      </c>
      <c r="C29" s="10">
        <f t="shared" si="37"/>
        <v>59.934516006480209</v>
      </c>
      <c r="D29" s="10">
        <f t="shared" si="37"/>
        <v>64.829091189444469</v>
      </c>
      <c r="E29" s="10">
        <f t="shared" si="37"/>
        <v>69.702968417909659</v>
      </c>
      <c r="F29" s="10">
        <f t="shared" ref="F29" si="38">IF(F22="L",2*F17*TAN((PI()/180)*F11/2),IF(F22="P",2*F17*TAN((PI()/180)*F10/2),"ERROR"))</f>
        <v>23.032653309248253</v>
      </c>
      <c r="G29" s="46">
        <f t="shared" ref="G29" si="39">IF(G22="L",2*G17*TAN((PI()/180)*G11/2),IF(G22="P",2*G17*TAN((PI()/180)*G10/2),"ERROR"))</f>
        <v>126.75103673256332</v>
      </c>
      <c r="H29" s="10">
        <f t="shared" si="37"/>
        <v>113.87574800578555</v>
      </c>
      <c r="I29" s="10">
        <f t="shared" si="37"/>
        <v>26.991335417335904</v>
      </c>
      <c r="J29" s="10">
        <f t="shared" ref="J29:K29" si="40">IF(J22="L",2*J17*TAN((PI()/180)*J11/2),IF(J22="P",2*J17*TAN((PI()/180)*J10/2),"ERROR"))</f>
        <v>127.6102635987549</v>
      </c>
      <c r="K29" s="10">
        <f t="shared" si="40"/>
        <v>59.838720682363366</v>
      </c>
      <c r="L29" s="10">
        <f t="shared" ref="L29:M29" si="41">IF(L22="L",2*L17*TAN((PI()/180)*L11/2),IF(L22="P",2*L17*TAN((PI()/180)*L10/2),"ERROR"))</f>
        <v>5.0285720000000005</v>
      </c>
      <c r="M29" s="46">
        <f t="shared" si="41"/>
        <v>27.500000000000004</v>
      </c>
      <c r="N29" s="11">
        <f t="shared" si="37"/>
        <v>7.3277899364514815E-2</v>
      </c>
      <c r="O29" s="43"/>
      <c r="P29" s="28"/>
    </row>
    <row r="30" spans="1:16" x14ac:dyDescent="0.25">
      <c r="A30" s="18" t="s">
        <v>40</v>
      </c>
      <c r="B30" s="9">
        <f>((100-B18)/100)*B29/B25</f>
        <v>5.9934516006480214</v>
      </c>
      <c r="C30" s="10">
        <f t="shared" ref="C30:I30" si="42">((100-C18)/100)*C29/C25</f>
        <v>5.9934516006480214</v>
      </c>
      <c r="D30" s="10">
        <f t="shared" ref="D30" si="43">((100-D18)/100)*D29/D25</f>
        <v>6.4829091189444474</v>
      </c>
      <c r="E30" s="10">
        <f t="shared" si="42"/>
        <v>6.9702968417909661</v>
      </c>
      <c r="F30" s="10">
        <f t="shared" ref="F30" si="44">((100-F18)/100)*F29/F25</f>
        <v>2.3032653309248254</v>
      </c>
      <c r="G30" s="46">
        <f t="shared" ref="G30" si="45">((100-G18)/100)*G29/G25</f>
        <v>20.280165877210131</v>
      </c>
      <c r="H30" s="10">
        <f t="shared" si="42"/>
        <v>11.387574800578555</v>
      </c>
      <c r="I30" s="10">
        <f t="shared" si="42"/>
        <v>5.3982670834671813</v>
      </c>
      <c r="J30" s="10">
        <f t="shared" ref="J30:K30" si="46">((100-J18)/100)*J29/J25</f>
        <v>12.76102635987549</v>
      </c>
      <c r="K30" s="10">
        <f t="shared" si="46"/>
        <v>2.3935488272945351</v>
      </c>
      <c r="L30" s="10">
        <f t="shared" ref="L30:M30" si="47">((100-L18)/100)*L29/L25</f>
        <v>10.057144000000001</v>
      </c>
      <c r="M30" s="46">
        <f t="shared" si="47"/>
        <v>55.000000000000007</v>
      </c>
      <c r="N30" s="11">
        <f t="shared" ref="N30" si="48">((100-N18)/100)*N29/N25</f>
        <v>18.24619694176419</v>
      </c>
      <c r="O30" s="43"/>
    </row>
    <row r="31" spans="1:16" x14ac:dyDescent="0.25">
      <c r="A31" s="18" t="s">
        <v>46</v>
      </c>
      <c r="B31" s="9">
        <f>((100-B19)/100)*B28</f>
        <v>35.960709603888127</v>
      </c>
      <c r="C31" s="10">
        <f t="shared" ref="C31:I31" si="49">((100-C19)/100)*C28</f>
        <v>35.960709603888127</v>
      </c>
      <c r="D31" s="10">
        <f t="shared" ref="D31" si="50">((100-D19)/100)*D28</f>
        <v>34.575515301037058</v>
      </c>
      <c r="E31" s="10">
        <f t="shared" si="49"/>
        <v>37.212504878317787</v>
      </c>
      <c r="F31" s="10">
        <f t="shared" ref="F31" si="51">((100-F19)/100)*F28</f>
        <v>12.296502474502606</v>
      </c>
      <c r="G31" s="46">
        <f t="shared" ref="G31" si="52">((100-G19)/100)*G28</f>
        <v>60.079991411235</v>
      </c>
      <c r="H31" s="10">
        <f t="shared" si="49"/>
        <v>34.162724401735673</v>
      </c>
      <c r="I31" s="10">
        <f t="shared" si="49"/>
        <v>14.395378889245817</v>
      </c>
      <c r="J31" s="10">
        <f t="shared" ref="J31:K31" si="53">((100-J19)/100)*J28</f>
        <v>65.978972025754857</v>
      </c>
      <c r="K31" s="10">
        <f t="shared" si="53"/>
        <v>17.7925483134273</v>
      </c>
      <c r="L31" s="10">
        <f t="shared" ref="L31:M31" si="54">((100-L19)/100)*L28</f>
        <v>1.5085712000000002</v>
      </c>
      <c r="M31" s="46">
        <f t="shared" si="54"/>
        <v>14.666665999999999</v>
      </c>
      <c r="N31" s="11">
        <f t="shared" ref="N31" si="55">((100-N19)/100)*N28</f>
        <v>32.975054714031664</v>
      </c>
      <c r="O31" s="43"/>
    </row>
    <row r="32" spans="1:16" x14ac:dyDescent="0.25">
      <c r="A32" s="18" t="s">
        <v>35</v>
      </c>
      <c r="B32" s="9">
        <f>((100-B18)/100)*B29/B20</f>
        <v>5.9934516006480214</v>
      </c>
      <c r="C32" s="10">
        <f t="shared" ref="C32:I32" si="56">((100-C18)/100)*C29/C20</f>
        <v>3.9956344004320141</v>
      </c>
      <c r="D32" s="10">
        <f t="shared" ref="D32" si="57">((100-D18)/100)*D29/D20</f>
        <v>4.3219394126296313</v>
      </c>
      <c r="E32" s="10">
        <f t="shared" si="56"/>
        <v>6.9702968417909661</v>
      </c>
      <c r="F32" s="10">
        <f t="shared" ref="F32" si="58">((100-F18)/100)*F29/F20</f>
        <v>2.3032653309248254</v>
      </c>
      <c r="G32" s="46">
        <f t="shared" ref="G32" si="59">((100-G18)/100)*G29/G20</f>
        <v>10.140082938605065</v>
      </c>
      <c r="H32" s="10">
        <f t="shared" si="56"/>
        <v>11.387574800578555</v>
      </c>
      <c r="I32" s="10">
        <f t="shared" si="56"/>
        <v>5.3982670834671813</v>
      </c>
      <c r="J32" s="10">
        <f t="shared" ref="J32:K32" si="60">((100-J18)/100)*J29/J20</f>
        <v>12.76102635987549</v>
      </c>
      <c r="K32" s="10">
        <f t="shared" si="60"/>
        <v>2.3935488272945351</v>
      </c>
      <c r="L32" s="10">
        <f t="shared" ref="L32:M32" si="61">((100-L18)/100)*L29/L20</f>
        <v>2.0114288000000005</v>
      </c>
      <c r="M32" s="46">
        <f t="shared" si="61"/>
        <v>5.5000000000000009</v>
      </c>
      <c r="N32" s="11">
        <f t="shared" ref="N32" si="62">((100-N18)/100)*N29/N20</f>
        <v>7.3277899364514809</v>
      </c>
      <c r="O32" s="43"/>
    </row>
    <row r="33" spans="1:15" x14ac:dyDescent="0.25">
      <c r="A33" s="18" t="s">
        <v>54</v>
      </c>
      <c r="B33" s="9">
        <f>((100-B18)/100)*B29/B21</f>
        <v>1.9978172002160071</v>
      </c>
      <c r="C33" s="10">
        <f t="shared" ref="C33:I33" si="63">((100-C18)/100)*C29/C21</f>
        <v>1.9978172002160071</v>
      </c>
      <c r="D33" s="10">
        <f t="shared" ref="D33" si="64">((100-D18)/100)*D29/D21</f>
        <v>2.1609697063148157</v>
      </c>
      <c r="E33" s="10">
        <f t="shared" si="63"/>
        <v>2.7881187367163864</v>
      </c>
      <c r="F33" s="10">
        <f t="shared" ref="F33" si="65">((100-F18)/100)*F29/F21</f>
        <v>0.9213061323699302</v>
      </c>
      <c r="G33" s="46">
        <f t="shared" ref="G33" si="66">((100-G18)/100)*G29/G21</f>
        <v>2.0280165877210132</v>
      </c>
      <c r="H33" s="10">
        <f t="shared" si="63"/>
        <v>4.5550299202314219</v>
      </c>
      <c r="I33" s="10">
        <f t="shared" si="63"/>
        <v>1.0796534166934362</v>
      </c>
      <c r="J33" s="10">
        <f t="shared" ref="J33:K33" si="67">((100-J18)/100)*J29/J21</f>
        <v>4.2536754532918302</v>
      </c>
      <c r="K33" s="10">
        <f t="shared" si="67"/>
        <v>5.203367015857685</v>
      </c>
      <c r="L33" s="10">
        <f t="shared" ref="L33:M33" si="68">((100-L18)/100)*L29/L21</f>
        <v>0.10057144000000003</v>
      </c>
      <c r="M33" s="46">
        <f t="shared" si="68"/>
        <v>0.55000000000000004</v>
      </c>
      <c r="N33" s="11">
        <f t="shared" ref="N33" si="69">((100-N18)/100)*N29/N21</f>
        <v>9.1597374205643518E-3</v>
      </c>
      <c r="O33" s="43"/>
    </row>
    <row r="34" spans="1:15" ht="15.75" thickBot="1" x14ac:dyDescent="0.3">
      <c r="A34" s="23" t="s">
        <v>55</v>
      </c>
      <c r="B34" s="14">
        <f>1/B33</f>
        <v>0.50054629617358304</v>
      </c>
      <c r="C34" s="15">
        <f t="shared" ref="C34:N34" si="70">1/C33</f>
        <v>0.50054629617358304</v>
      </c>
      <c r="D34" s="15">
        <f t="shared" si="70"/>
        <v>0.46275521451216373</v>
      </c>
      <c r="E34" s="15">
        <f t="shared" si="70"/>
        <v>0.35866478239650457</v>
      </c>
      <c r="F34" s="15">
        <f t="shared" ref="F34" si="71">1/F33</f>
        <v>1.0854155474116307</v>
      </c>
      <c r="G34" s="48">
        <f t="shared" ref="G34" si="72">1/G33</f>
        <v>0.49309261376592167</v>
      </c>
      <c r="H34" s="15">
        <f t="shared" si="70"/>
        <v>0.2195375261002005</v>
      </c>
      <c r="I34" s="15">
        <f t="shared" si="70"/>
        <v>0.92622316063484145</v>
      </c>
      <c r="J34" s="15">
        <f t="shared" ref="J34:K34" si="73">1/J33</f>
        <v>0.2350908081682915</v>
      </c>
      <c r="K34" s="15">
        <f t="shared" si="73"/>
        <v>0.19218325306525919</v>
      </c>
      <c r="L34" s="15">
        <f t="shared" ref="L34:M34" si="74">1/L33</f>
        <v>9.9431806882749196</v>
      </c>
      <c r="M34" s="48">
        <f t="shared" si="74"/>
        <v>1.8181818181818181</v>
      </c>
      <c r="N34" s="16">
        <f t="shared" si="70"/>
        <v>109.17343522914959</v>
      </c>
      <c r="O34" s="43"/>
    </row>
    <row r="36" spans="1:15" s="29" customFormat="1" x14ac:dyDescent="0.25">
      <c r="A36" s="33" t="s">
        <v>16</v>
      </c>
      <c r="F36" s="36"/>
      <c r="J36" s="34"/>
      <c r="K36" s="35"/>
    </row>
    <row r="37" spans="1:15" s="29" customFormat="1" ht="30" customHeight="1" x14ac:dyDescent="0.25">
      <c r="A37" s="29" t="s">
        <v>37</v>
      </c>
      <c r="B37" s="39" t="s">
        <v>38</v>
      </c>
      <c r="C37" s="39"/>
      <c r="D37" s="39"/>
      <c r="E37" s="39"/>
      <c r="F37" s="39"/>
      <c r="G37" s="39"/>
      <c r="H37" s="39"/>
      <c r="I37" s="39"/>
      <c r="J37" s="39"/>
      <c r="K37" s="39"/>
      <c r="L37" s="39"/>
      <c r="M37" s="39"/>
      <c r="N37" s="39"/>
    </row>
    <row r="38" spans="1:15" s="29" customFormat="1" ht="30" customHeight="1" x14ac:dyDescent="0.25">
      <c r="A38" s="29" t="s">
        <v>21</v>
      </c>
      <c r="B38" s="39" t="s">
        <v>17</v>
      </c>
      <c r="C38" s="39"/>
      <c r="D38" s="39"/>
      <c r="E38" s="39"/>
      <c r="F38" s="39"/>
      <c r="G38" s="39"/>
      <c r="H38" s="39"/>
      <c r="I38" s="39"/>
      <c r="J38" s="39"/>
      <c r="K38" s="39"/>
      <c r="L38" s="39"/>
      <c r="M38" s="39"/>
      <c r="N38" s="39"/>
    </row>
    <row r="39" spans="1:15" s="29" customFormat="1" x14ac:dyDescent="0.25">
      <c r="A39" s="29" t="s">
        <v>42</v>
      </c>
      <c r="B39" s="39" t="s">
        <v>45</v>
      </c>
      <c r="C39" s="39"/>
      <c r="D39" s="39"/>
      <c r="E39" s="39"/>
      <c r="F39" s="39"/>
      <c r="G39" s="39"/>
      <c r="H39" s="39"/>
      <c r="I39" s="39"/>
      <c r="J39" s="39"/>
      <c r="K39" s="39"/>
      <c r="L39" s="39"/>
      <c r="M39" s="39"/>
      <c r="N39" s="39"/>
    </row>
    <row r="40" spans="1:15" x14ac:dyDescent="0.25">
      <c r="A40" s="37" t="s">
        <v>42</v>
      </c>
      <c r="B40" s="2" t="s">
        <v>64</v>
      </c>
    </row>
    <row r="41" spans="1:15" s="29" customFormat="1" ht="15" customHeight="1" x14ac:dyDescent="0.25">
      <c r="A41" s="38" t="s">
        <v>42</v>
      </c>
      <c r="B41" s="39" t="s">
        <v>67</v>
      </c>
      <c r="C41" s="39"/>
      <c r="D41" s="39"/>
      <c r="E41" s="39"/>
      <c r="F41" s="39"/>
      <c r="G41" s="39"/>
      <c r="H41" s="39"/>
      <c r="I41" s="39"/>
      <c r="J41" s="39"/>
      <c r="K41" s="39"/>
      <c r="L41" s="39"/>
      <c r="M41" s="39"/>
      <c r="N41" s="39"/>
    </row>
    <row r="42" spans="1:15" s="29" customFormat="1" x14ac:dyDescent="0.25">
      <c r="A42" s="29" t="s">
        <v>66</v>
      </c>
      <c r="B42" s="39" t="s">
        <v>51</v>
      </c>
      <c r="C42" s="39"/>
      <c r="D42" s="39"/>
      <c r="E42" s="39"/>
      <c r="F42" s="39"/>
      <c r="G42" s="39"/>
      <c r="H42" s="39"/>
      <c r="I42" s="39"/>
      <c r="J42" s="39"/>
      <c r="K42" s="39"/>
      <c r="L42" s="39"/>
      <c r="M42" s="39"/>
      <c r="N42" s="39"/>
    </row>
  </sheetData>
  <mergeCells count="8">
    <mergeCell ref="B41:N41"/>
    <mergeCell ref="O5:O15"/>
    <mergeCell ref="O16:O23"/>
    <mergeCell ref="O24:O34"/>
    <mergeCell ref="B38:N38"/>
    <mergeCell ref="B37:N37"/>
    <mergeCell ref="B39:N39"/>
    <mergeCell ref="B42:N42"/>
  </mergeCells>
  <pageMargins left="0.25" right="0.25"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Biggs</dc:creator>
  <cp:lastModifiedBy>Hamish Biggs</cp:lastModifiedBy>
  <cp:lastPrinted>2020-10-21T05:21:03Z</cp:lastPrinted>
  <dcterms:created xsi:type="dcterms:W3CDTF">2019-10-23T21:28:45Z</dcterms:created>
  <dcterms:modified xsi:type="dcterms:W3CDTF">2022-04-08T07:55:35Z</dcterms:modified>
</cp:coreProperties>
</file>