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D:\GitHubRepos\LoggerPrograms\"/>
    </mc:Choice>
  </mc:AlternateContent>
  <bookViews>
    <workbookView xWindow="120" yWindow="120" windowWidth="18000" windowHeight="8460"/>
  </bookViews>
  <sheets>
    <sheet name="Instructions" sheetId="3" r:id="rId1"/>
    <sheet name="Sensor coefficients" sheetId="2" r:id="rId2"/>
    <sheet name="LoggerSettings" sheetId="4" r:id="rId3"/>
    <sheet name="CRBasicTemplate" sheetId="1" r:id="rId4"/>
    <sheet name="Sheet1" sheetId="5" r:id="rId5"/>
  </sheets>
  <definedNames>
    <definedName name="ClockComChannel">LoggerSettings!$B$32</definedName>
    <definedName name="DataAveragingFrequecy">LoggerSettings!$B$6</definedName>
    <definedName name="DataAveragingUnits">LoggerSettings!$B$8</definedName>
    <definedName name="DataTableName">LoggerSettings!$B$10</definedName>
    <definedName name="FluxPlateCalibrations">'Sensor coefficients'!$B$30:$G$41</definedName>
    <definedName name="HumSignalSEChan">LoggerSettings!$B$14</definedName>
    <definedName name="IR_SensorCoeffs">'Sensor coefficients'!$O$2:$V$26</definedName>
    <definedName name="LaefWetnessVXChan">LoggerSettings!$B$30</definedName>
    <definedName name="LeafWetnessSEChan">LoggerSettings!$B$28</definedName>
    <definedName name="LeafWetnessVXChan">LoggerSettings!$B$30</definedName>
    <definedName name="ModemComChannel">LoggerSettings!#REF!</definedName>
    <definedName name="ModemOff">LoggerSettings!#REF!</definedName>
    <definedName name="ModemOn">LoggerSettings!#REF!</definedName>
    <definedName name="MUX1DiffChannel">LoggerSettings!$B$39</definedName>
    <definedName name="MUX1ResComChannel">LoggerSettings!$B$37</definedName>
    <definedName name="MUX1SEChannel">LoggerSettings!$B$41</definedName>
    <definedName name="MUX1VXChannel">LoggerSettings!$B$43</definedName>
    <definedName name="MUX2DiffChannel">LoggerSettings!$C$39</definedName>
    <definedName name="MUX2ResComChannel">LoggerSettings!$C$37</definedName>
    <definedName name="MUX2SEChannel">LoggerSettings!$C$41</definedName>
    <definedName name="MUX2VXChannel">LoggerSettings!$C$43</definedName>
    <definedName name="MUX3DiffChannel">LoggerSettings!$D$39</definedName>
    <definedName name="MUX3ResComChannel">LoggerSettings!$D$37</definedName>
    <definedName name="MUX3RseComChannel">LoggerSettings!$D$37</definedName>
    <definedName name="MUX3SEChannel">LoggerSettings!$D$41</definedName>
    <definedName name="MUX3VXChannel">LoggerSettings!$D$43</definedName>
    <definedName name="MUX4ResComChannel">LoggerSettings!$E$37</definedName>
    <definedName name="MUX4SEChannel">LoggerSettings!$E$41</definedName>
    <definedName name="MUX4VXChannel">LoggerSettings!$E$43</definedName>
    <definedName name="Mux5DiffChannel">LoggerSettings!$F$39</definedName>
    <definedName name="Mux5ResComChannel">LoggerSettings!$F$37</definedName>
    <definedName name="MUXChannnels">LoggerSettings!$A$37:$F$43</definedName>
    <definedName name="MUXChans">LoggerSettings!$A$37:$F$43</definedName>
    <definedName name="Pyrradiometer_coeff">'Sensor coefficients'!$B$44</definedName>
    <definedName name="PyrradiometerDiffChan">LoggerSettings!$B$34</definedName>
    <definedName name="RadnSignalDifflChan">LoggerSettings!$B$16</definedName>
    <definedName name="RainMmPerTip">LoggerSettings!$B$18</definedName>
    <definedName name="RainSignalPulseChan">LoggerSettings!$B$20</definedName>
    <definedName name="ScanFrequenceUnits">LoggerSettings!$B$4</definedName>
    <definedName name="ScanFrequenceValue">LoggerSettings!$B$2</definedName>
    <definedName name="ScanFrequencyInSec">LoggerSettings!$D$6</definedName>
    <definedName name="SensorCoeffs">'Sensor coefficients'!$B$3:$M$26</definedName>
    <definedName name="SensorSerialNo">'Sensor coefficients'!$A$2:$M$26</definedName>
    <definedName name="TempSignalSEChan">LoggerSettings!$B$12</definedName>
    <definedName name="WindMSPerPulse">LoggerSettings!$B$24</definedName>
    <definedName name="WindMSPerSpin">LoggerSettings!$B$24</definedName>
    <definedName name="WindOffset">LoggerSettings!$B$26</definedName>
    <definedName name="WindSignalPulseChan">LoggerSettings!$B$22</definedName>
  </definedNames>
  <calcPr calcId="152511"/>
</workbook>
</file>

<file path=xl/calcChain.xml><?xml version="1.0" encoding="utf-8"?>
<calcChain xmlns="http://schemas.openxmlformats.org/spreadsheetml/2006/main">
  <c r="M912" i="1" l="1"/>
  <c r="M733" i="1"/>
  <c r="A727" i="1"/>
  <c r="F734" i="1" s="1"/>
  <c r="L726" i="1"/>
  <c r="L1045" i="1"/>
  <c r="D734" i="1" l="1"/>
  <c r="M734" i="1" s="1"/>
  <c r="A100" i="3"/>
  <c r="A99" i="3"/>
  <c r="B1044" i="1"/>
  <c r="M1043" i="1"/>
  <c r="L1042" i="1"/>
  <c r="L1041" i="1"/>
  <c r="B1040" i="1"/>
  <c r="M1039" i="1"/>
  <c r="L1038" i="1"/>
  <c r="L1037" i="1"/>
  <c r="B1036" i="1"/>
  <c r="M1035" i="1"/>
  <c r="L1034" i="1"/>
  <c r="L1033" i="1"/>
  <c r="B1032" i="1"/>
  <c r="M1031" i="1"/>
  <c r="L1030" i="1"/>
  <c r="L1029" i="1"/>
  <c r="B1028" i="1"/>
  <c r="M1027" i="1"/>
  <c r="L1026" i="1"/>
  <c r="L1025" i="1"/>
  <c r="B1024" i="1"/>
  <c r="M1023" i="1"/>
  <c r="L1022" i="1"/>
  <c r="L1021" i="1"/>
  <c r="B1020" i="1"/>
  <c r="M1019" i="1"/>
  <c r="L1018" i="1"/>
  <c r="L1017" i="1"/>
  <c r="B1016" i="1"/>
  <c r="M1015" i="1"/>
  <c r="L1014" i="1"/>
  <c r="L1013" i="1"/>
  <c r="B1012" i="1"/>
  <c r="M1011" i="1"/>
  <c r="L1010" i="1"/>
  <c r="L1009" i="1"/>
  <c r="B1008" i="1"/>
  <c r="M1007" i="1"/>
  <c r="L1006" i="1"/>
  <c r="L1005" i="1"/>
  <c r="B1004" i="1"/>
  <c r="M1003" i="1"/>
  <c r="L1002" i="1"/>
  <c r="L1001" i="1"/>
  <c r="B1000" i="1"/>
  <c r="M999" i="1"/>
  <c r="L998" i="1"/>
  <c r="L997" i="1"/>
  <c r="B996" i="1"/>
  <c r="A938" i="1"/>
  <c r="A942" i="1" s="1"/>
  <c r="A946" i="1" s="1"/>
  <c r="A950" i="1" s="1"/>
  <c r="A954" i="1" s="1"/>
  <c r="A958" i="1" s="1"/>
  <c r="A962" i="1" s="1"/>
  <c r="A966" i="1" s="1"/>
  <c r="A970" i="1" s="1"/>
  <c r="A974" i="1" s="1"/>
  <c r="A978" i="1" s="1"/>
  <c r="A982" i="1" s="1"/>
  <c r="A986" i="1" s="1"/>
  <c r="A990" i="1" s="1"/>
  <c r="A994" i="1" s="1"/>
  <c r="A998" i="1" s="1"/>
  <c r="A1002" i="1" s="1"/>
  <c r="B992" i="1"/>
  <c r="B988" i="1"/>
  <c r="B984" i="1"/>
  <c r="B980" i="1"/>
  <c r="B976" i="1"/>
  <c r="B972" i="1"/>
  <c r="B968" i="1"/>
  <c r="B964" i="1"/>
  <c r="B960" i="1"/>
  <c r="B956" i="1"/>
  <c r="B952" i="1"/>
  <c r="B948" i="1"/>
  <c r="B944" i="1"/>
  <c r="B940" i="1"/>
  <c r="D1004" i="1" l="1"/>
  <c r="M1004" i="1" s="1"/>
  <c r="A1006" i="1"/>
  <c r="D1000" i="1"/>
  <c r="M1000" i="1" s="1"/>
  <c r="A1010" i="1" l="1"/>
  <c r="D1008" i="1"/>
  <c r="M1008" i="1" s="1"/>
  <c r="D1012" i="1" l="1"/>
  <c r="M1012" i="1" s="1"/>
  <c r="A1014" i="1"/>
  <c r="A1018" i="1" l="1"/>
  <c r="D1016" i="1"/>
  <c r="M1016" i="1" s="1"/>
  <c r="D1020" i="1" l="1"/>
  <c r="M1020" i="1" s="1"/>
  <c r="A1022" i="1"/>
  <c r="D1024" i="1" l="1"/>
  <c r="M1024" i="1" s="1"/>
  <c r="A1026" i="1"/>
  <c r="A1030" i="1" l="1"/>
  <c r="D1028" i="1"/>
  <c r="M1028" i="1" s="1"/>
  <c r="A1034" i="1" l="1"/>
  <c r="D1032" i="1"/>
  <c r="M1032" i="1" s="1"/>
  <c r="D1036" i="1" l="1"/>
  <c r="M1036" i="1" s="1"/>
  <c r="A1038" i="1"/>
  <c r="A1042" i="1" l="1"/>
  <c r="D1040" i="1"/>
  <c r="M1040" i="1" s="1"/>
  <c r="D1044" i="1" l="1"/>
  <c r="M1044" i="1" s="1"/>
  <c r="A1046" i="1"/>
  <c r="A1051" i="1" s="1"/>
  <c r="A1056" i="1" s="1"/>
  <c r="A1061" i="1" s="1"/>
  <c r="D996" i="1"/>
  <c r="M996" i="1" s="1"/>
  <c r="M995" i="1"/>
  <c r="L994" i="1"/>
  <c r="L993" i="1"/>
  <c r="D992" i="1"/>
  <c r="M992" i="1" s="1"/>
  <c r="M991" i="1"/>
  <c r="L990" i="1"/>
  <c r="L989" i="1"/>
  <c r="D988" i="1"/>
  <c r="M988" i="1" s="1"/>
  <c r="M987" i="1"/>
  <c r="L986" i="1"/>
  <c r="L985" i="1"/>
  <c r="D984" i="1"/>
  <c r="M984" i="1" s="1"/>
  <c r="M983" i="1"/>
  <c r="L982" i="1"/>
  <c r="L981" i="1"/>
  <c r="D980" i="1"/>
  <c r="M980" i="1" s="1"/>
  <c r="M979" i="1"/>
  <c r="L978" i="1"/>
  <c r="L977" i="1"/>
  <c r="D976" i="1"/>
  <c r="M976" i="1" s="1"/>
  <c r="M975" i="1"/>
  <c r="L974" i="1"/>
  <c r="L973" i="1"/>
  <c r="D972" i="1"/>
  <c r="M972" i="1" s="1"/>
  <c r="M971" i="1"/>
  <c r="L970" i="1"/>
  <c r="L969" i="1"/>
  <c r="D968" i="1"/>
  <c r="M968" i="1" s="1"/>
  <c r="M967" i="1"/>
  <c r="L966" i="1"/>
  <c r="L965" i="1"/>
  <c r="D964" i="1"/>
  <c r="M964" i="1" s="1"/>
  <c r="M963" i="1"/>
  <c r="L962" i="1"/>
  <c r="L961" i="1"/>
  <c r="D960" i="1"/>
  <c r="M960" i="1" s="1"/>
  <c r="M959" i="1"/>
  <c r="L958" i="1"/>
  <c r="L957" i="1"/>
  <c r="D956" i="1"/>
  <c r="M956" i="1" s="1"/>
  <c r="M955" i="1"/>
  <c r="L954" i="1"/>
  <c r="L953" i="1"/>
  <c r="D952" i="1"/>
  <c r="M952" i="1" s="1"/>
  <c r="M951" i="1"/>
  <c r="L950" i="1"/>
  <c r="L949" i="1"/>
  <c r="D948" i="1"/>
  <c r="M948" i="1" s="1"/>
  <c r="M947" i="1"/>
  <c r="L946" i="1"/>
  <c r="L945" i="1"/>
  <c r="D944" i="1"/>
  <c r="M944" i="1" s="1"/>
  <c r="M943" i="1"/>
  <c r="L942" i="1"/>
  <c r="L941" i="1"/>
  <c r="D940" i="1"/>
  <c r="M940" i="1" s="1"/>
  <c r="M939" i="1"/>
  <c r="L938" i="1"/>
  <c r="B1066" i="1"/>
  <c r="K1066" i="1" s="1"/>
  <c r="K1065" i="1"/>
  <c r="B935" i="1"/>
  <c r="K935" i="1" s="1"/>
  <c r="L937" i="1"/>
  <c r="K934" i="1"/>
  <c r="A145" i="3"/>
  <c r="A144" i="3"/>
  <c r="A141" i="3"/>
  <c r="A140" i="3"/>
  <c r="C208" i="1"/>
  <c r="C209" i="1" s="1"/>
  <c r="J207" i="1"/>
  <c r="C655" i="1"/>
  <c r="A655" i="1"/>
  <c r="C653" i="1"/>
  <c r="A653" i="1"/>
  <c r="C652" i="1"/>
  <c r="A652" i="1"/>
  <c r="C651" i="1"/>
  <c r="A651" i="1"/>
  <c r="C649" i="1"/>
  <c r="C648" i="1"/>
  <c r="A646" i="1"/>
  <c r="A644" i="1"/>
  <c r="C639" i="1"/>
  <c r="A639" i="1"/>
  <c r="C637" i="1"/>
  <c r="A637" i="1"/>
  <c r="C636" i="1"/>
  <c r="A636" i="1"/>
  <c r="C635" i="1"/>
  <c r="A635" i="1"/>
  <c r="C633" i="1"/>
  <c r="C632" i="1"/>
  <c r="A630" i="1"/>
  <c r="A628" i="1"/>
  <c r="C623" i="1"/>
  <c r="A623" i="1"/>
  <c r="C621" i="1"/>
  <c r="A621" i="1"/>
  <c r="C620" i="1"/>
  <c r="A620" i="1"/>
  <c r="C619" i="1"/>
  <c r="A619" i="1"/>
  <c r="C617" i="1"/>
  <c r="C616" i="1"/>
  <c r="A614" i="1"/>
  <c r="A612" i="1"/>
  <c r="C607" i="1"/>
  <c r="A607" i="1"/>
  <c r="C605" i="1"/>
  <c r="A605" i="1"/>
  <c r="C604" i="1"/>
  <c r="A604" i="1"/>
  <c r="C603" i="1"/>
  <c r="A603" i="1"/>
  <c r="C601" i="1"/>
  <c r="C600" i="1"/>
  <c r="A598" i="1"/>
  <c r="A596" i="1"/>
  <c r="C591" i="1"/>
  <c r="A591" i="1"/>
  <c r="C589" i="1"/>
  <c r="A589" i="1"/>
  <c r="C588" i="1"/>
  <c r="A588" i="1"/>
  <c r="C587" i="1"/>
  <c r="A587" i="1"/>
  <c r="C585" i="1"/>
  <c r="C584" i="1"/>
  <c r="A582" i="1"/>
  <c r="A580" i="1"/>
  <c r="C575" i="1"/>
  <c r="A575" i="1"/>
  <c r="C573" i="1"/>
  <c r="A573" i="1"/>
  <c r="C572" i="1"/>
  <c r="A572" i="1"/>
  <c r="C571" i="1"/>
  <c r="A571" i="1"/>
  <c r="C569" i="1"/>
  <c r="C568" i="1"/>
  <c r="A566" i="1"/>
  <c r="A564" i="1"/>
  <c r="C559" i="1"/>
  <c r="A559" i="1"/>
  <c r="C557" i="1"/>
  <c r="A557" i="1"/>
  <c r="C556" i="1"/>
  <c r="A556" i="1"/>
  <c r="C555" i="1"/>
  <c r="A555" i="1"/>
  <c r="C553" i="1"/>
  <c r="C552" i="1"/>
  <c r="A550" i="1"/>
  <c r="A548" i="1"/>
  <c r="E540" i="1"/>
  <c r="E537" i="1"/>
  <c r="E536" i="1"/>
  <c r="A537" i="1"/>
  <c r="A536" i="1"/>
  <c r="G537" i="1"/>
  <c r="G536" i="1"/>
  <c r="G540" i="1"/>
  <c r="F540" i="1"/>
  <c r="D543" i="1"/>
  <c r="D541" i="1"/>
  <c r="D540" i="1"/>
  <c r="D539" i="1"/>
  <c r="B543" i="1"/>
  <c r="B541" i="1"/>
  <c r="B540" i="1"/>
  <c r="B539" i="1"/>
  <c r="B534" i="1"/>
  <c r="B532" i="1"/>
  <c r="C543" i="1"/>
  <c r="A543" i="1"/>
  <c r="C541" i="1"/>
  <c r="A541" i="1"/>
  <c r="C540" i="1"/>
  <c r="A540" i="1"/>
  <c r="C539" i="1"/>
  <c r="A539" i="1"/>
  <c r="C537" i="1"/>
  <c r="C536" i="1"/>
  <c r="C521" i="1"/>
  <c r="A521" i="1"/>
  <c r="C519" i="1"/>
  <c r="A519" i="1"/>
  <c r="C518" i="1"/>
  <c r="A518" i="1"/>
  <c r="C517" i="1"/>
  <c r="A517" i="1"/>
  <c r="C515" i="1"/>
  <c r="C514" i="1"/>
  <c r="C505" i="1"/>
  <c r="A505" i="1"/>
  <c r="C503" i="1"/>
  <c r="A503" i="1"/>
  <c r="C502" i="1"/>
  <c r="A502" i="1"/>
  <c r="C501" i="1"/>
  <c r="A501" i="1"/>
  <c r="C499" i="1"/>
  <c r="C498" i="1"/>
  <c r="C489" i="1"/>
  <c r="A489" i="1"/>
  <c r="C487" i="1"/>
  <c r="A487" i="1"/>
  <c r="C486" i="1"/>
  <c r="A486" i="1"/>
  <c r="C485" i="1"/>
  <c r="A485" i="1"/>
  <c r="C483" i="1"/>
  <c r="C482" i="1"/>
  <c r="C473" i="1"/>
  <c r="A473" i="1"/>
  <c r="C471" i="1"/>
  <c r="A471" i="1"/>
  <c r="C470" i="1"/>
  <c r="A470" i="1"/>
  <c r="C469" i="1"/>
  <c r="A469" i="1"/>
  <c r="C467" i="1"/>
  <c r="C466" i="1"/>
  <c r="C457" i="1"/>
  <c r="A457" i="1"/>
  <c r="C455" i="1"/>
  <c r="A455" i="1"/>
  <c r="C454" i="1"/>
  <c r="A454" i="1"/>
  <c r="C453" i="1"/>
  <c r="A453" i="1"/>
  <c r="C451" i="1"/>
  <c r="C450" i="1"/>
  <c r="C441" i="1"/>
  <c r="A441" i="1"/>
  <c r="C439" i="1"/>
  <c r="A439" i="1"/>
  <c r="C438" i="1"/>
  <c r="A438" i="1"/>
  <c r="C437" i="1"/>
  <c r="A437" i="1"/>
  <c r="C435" i="1"/>
  <c r="C434" i="1"/>
  <c r="C425" i="1"/>
  <c r="A425" i="1"/>
  <c r="C423" i="1"/>
  <c r="A423" i="1"/>
  <c r="C422" i="1"/>
  <c r="A422" i="1"/>
  <c r="C421" i="1"/>
  <c r="A421" i="1"/>
  <c r="C419" i="1"/>
  <c r="C418" i="1"/>
  <c r="C409" i="1"/>
  <c r="A409" i="1"/>
  <c r="C407" i="1"/>
  <c r="A407" i="1"/>
  <c r="C406" i="1"/>
  <c r="A406" i="1"/>
  <c r="C405" i="1"/>
  <c r="A405" i="1"/>
  <c r="C403" i="1"/>
  <c r="C402" i="1"/>
  <c r="C393" i="1"/>
  <c r="A393" i="1"/>
  <c r="C391" i="1"/>
  <c r="A391" i="1"/>
  <c r="C390" i="1"/>
  <c r="A390" i="1"/>
  <c r="C389" i="1"/>
  <c r="A389" i="1"/>
  <c r="C387" i="1"/>
  <c r="C386" i="1"/>
  <c r="C377" i="1"/>
  <c r="A377" i="1"/>
  <c r="C375" i="1"/>
  <c r="A375" i="1"/>
  <c r="C374" i="1"/>
  <c r="A374" i="1"/>
  <c r="C373" i="1"/>
  <c r="A373" i="1"/>
  <c r="C371" i="1"/>
  <c r="C370" i="1"/>
  <c r="C361" i="1"/>
  <c r="A361" i="1"/>
  <c r="C359" i="1"/>
  <c r="A359" i="1"/>
  <c r="C358" i="1"/>
  <c r="A358" i="1"/>
  <c r="C357" i="1"/>
  <c r="A357" i="1"/>
  <c r="C355" i="1"/>
  <c r="C354" i="1"/>
  <c r="C345" i="1"/>
  <c r="A345" i="1"/>
  <c r="C343" i="1"/>
  <c r="A343" i="1"/>
  <c r="C342" i="1"/>
  <c r="A342" i="1"/>
  <c r="C341" i="1"/>
  <c r="A341" i="1"/>
  <c r="C339" i="1"/>
  <c r="C338" i="1"/>
  <c r="C329" i="1"/>
  <c r="A329" i="1"/>
  <c r="C327" i="1"/>
  <c r="A327" i="1"/>
  <c r="C326" i="1"/>
  <c r="A326" i="1"/>
  <c r="C325" i="1"/>
  <c r="A325" i="1"/>
  <c r="C323" i="1"/>
  <c r="C322" i="1"/>
  <c r="C313" i="1"/>
  <c r="A313" i="1"/>
  <c r="C311" i="1"/>
  <c r="A311" i="1"/>
  <c r="C310" i="1"/>
  <c r="A310" i="1"/>
  <c r="C309" i="1"/>
  <c r="A309" i="1"/>
  <c r="C307" i="1"/>
  <c r="C306" i="1"/>
  <c r="C297" i="1"/>
  <c r="A297" i="1"/>
  <c r="C295" i="1"/>
  <c r="A295" i="1"/>
  <c r="C294" i="1"/>
  <c r="A294" i="1"/>
  <c r="C293" i="1"/>
  <c r="A293" i="1"/>
  <c r="C291" i="1"/>
  <c r="C290" i="1"/>
  <c r="F278" i="1"/>
  <c r="G278" i="1"/>
  <c r="G275" i="1"/>
  <c r="G274" i="1"/>
  <c r="C281" i="1"/>
  <c r="C279" i="1"/>
  <c r="C278" i="1"/>
  <c r="C277" i="1"/>
  <c r="E278" i="1"/>
  <c r="E275" i="1"/>
  <c r="E274" i="1"/>
  <c r="A534" i="1"/>
  <c r="A532" i="1"/>
  <c r="A512" i="1"/>
  <c r="A510" i="1"/>
  <c r="A496" i="1"/>
  <c r="A494" i="1"/>
  <c r="A480" i="1"/>
  <c r="A478" i="1"/>
  <c r="A464" i="1"/>
  <c r="A462" i="1"/>
  <c r="A448" i="1"/>
  <c r="A446" i="1"/>
  <c r="A432" i="1"/>
  <c r="A430" i="1"/>
  <c r="A416" i="1"/>
  <c r="A414" i="1"/>
  <c r="A400" i="1"/>
  <c r="A398" i="1"/>
  <c r="A384" i="1"/>
  <c r="A382" i="1"/>
  <c r="A368" i="1"/>
  <c r="A366" i="1"/>
  <c r="A352" i="1"/>
  <c r="A350" i="1"/>
  <c r="A336" i="1"/>
  <c r="A334" i="1"/>
  <c r="A320" i="1"/>
  <c r="A318" i="1"/>
  <c r="A304" i="1"/>
  <c r="A302" i="1"/>
  <c r="A288" i="1"/>
  <c r="A286" i="1"/>
  <c r="A270" i="1"/>
  <c r="A275" i="1"/>
  <c r="A274" i="1"/>
  <c r="A281" i="1"/>
  <c r="A279" i="1"/>
  <c r="A278" i="1"/>
  <c r="A277" i="1"/>
  <c r="A272" i="1"/>
  <c r="A124" i="3"/>
  <c r="A123" i="3"/>
  <c r="A120" i="3"/>
  <c r="A119" i="3"/>
  <c r="A71" i="3"/>
  <c r="A53" i="3"/>
  <c r="C112" i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88" i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64" i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196" i="1"/>
  <c r="C197" i="1" s="1"/>
  <c r="C198" i="1" s="1"/>
  <c r="C199" i="1" s="1"/>
  <c r="C200" i="1" s="1"/>
  <c r="C201" i="1" s="1"/>
  <c r="C202" i="1" s="1"/>
  <c r="C203" i="1" s="1"/>
  <c r="C184" i="1"/>
  <c r="C185" i="1" s="1"/>
  <c r="C186" i="1" s="1"/>
  <c r="C187" i="1" s="1"/>
  <c r="C188" i="1" s="1"/>
  <c r="C189" i="1" s="1"/>
  <c r="C190" i="1" s="1"/>
  <c r="C191" i="1" s="1"/>
  <c r="C172" i="1"/>
  <c r="C173" i="1" s="1"/>
  <c r="J159" i="1"/>
  <c r="C160" i="1"/>
  <c r="C161" i="1" s="1"/>
  <c r="J161" i="1" s="1"/>
  <c r="C136" i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B932" i="1"/>
  <c r="M929" i="1"/>
  <c r="M928" i="1"/>
  <c r="L927" i="1"/>
  <c r="M925" i="1"/>
  <c r="M924" i="1"/>
  <c r="L923" i="1"/>
  <c r="C919" i="1"/>
  <c r="B922" i="1" s="1"/>
  <c r="M921" i="1"/>
  <c r="M920" i="1"/>
  <c r="L919" i="1"/>
  <c r="B918" i="1"/>
  <c r="M917" i="1"/>
  <c r="M916" i="1"/>
  <c r="L914" i="1"/>
  <c r="L915" i="1"/>
  <c r="L911" i="1"/>
  <c r="L910" i="1"/>
  <c r="M908" i="1"/>
  <c r="L907" i="1"/>
  <c r="L906" i="1"/>
  <c r="M904" i="1"/>
  <c r="L903" i="1"/>
  <c r="L902" i="1"/>
  <c r="M900" i="1"/>
  <c r="L899" i="1"/>
  <c r="L898" i="1"/>
  <c r="M896" i="1"/>
  <c r="L895" i="1"/>
  <c r="L894" i="1"/>
  <c r="M892" i="1"/>
  <c r="L891" i="1"/>
  <c r="L890" i="1"/>
  <c r="M888" i="1"/>
  <c r="L887" i="1"/>
  <c r="L886" i="1"/>
  <c r="M884" i="1"/>
  <c r="L883" i="1"/>
  <c r="L882" i="1"/>
  <c r="M880" i="1"/>
  <c r="L879" i="1"/>
  <c r="L878" i="1"/>
  <c r="M876" i="1"/>
  <c r="L875" i="1"/>
  <c r="L874" i="1"/>
  <c r="M872" i="1"/>
  <c r="L871" i="1"/>
  <c r="L870" i="1"/>
  <c r="M868" i="1"/>
  <c r="L867" i="1"/>
  <c r="L866" i="1"/>
  <c r="M864" i="1"/>
  <c r="L863" i="1"/>
  <c r="L862" i="1"/>
  <c r="M860" i="1"/>
  <c r="L859" i="1"/>
  <c r="L858" i="1"/>
  <c r="M856" i="1"/>
  <c r="L855" i="1"/>
  <c r="L854" i="1"/>
  <c r="M852" i="1"/>
  <c r="L851" i="1"/>
  <c r="L850" i="1"/>
  <c r="M848" i="1"/>
  <c r="L847" i="1"/>
  <c r="L846" i="1"/>
  <c r="M844" i="1"/>
  <c r="L843" i="1"/>
  <c r="L842" i="1"/>
  <c r="M840" i="1"/>
  <c r="L839" i="1"/>
  <c r="L838" i="1"/>
  <c r="L834" i="1"/>
  <c r="L830" i="1"/>
  <c r="L826" i="1"/>
  <c r="L822" i="1"/>
  <c r="L805" i="1"/>
  <c r="L798" i="1"/>
  <c r="L791" i="1"/>
  <c r="L784" i="1"/>
  <c r="L777" i="1"/>
  <c r="L770" i="1"/>
  <c r="L763" i="1"/>
  <c r="L756" i="1"/>
  <c r="L749" i="1"/>
  <c r="L742" i="1"/>
  <c r="L735" i="1"/>
  <c r="L1060" i="1"/>
  <c r="L1055" i="1"/>
  <c r="L1050" i="1"/>
  <c r="C823" i="1"/>
  <c r="C827" i="1" s="1"/>
  <c r="B829" i="1" s="1"/>
  <c r="M836" i="1"/>
  <c r="L835" i="1"/>
  <c r="M832" i="1"/>
  <c r="L831" i="1"/>
  <c r="M828" i="1"/>
  <c r="L827" i="1"/>
  <c r="M824" i="1"/>
  <c r="L823" i="1"/>
  <c r="A819" i="1"/>
  <c r="A823" i="1" s="1"/>
  <c r="B816" i="1"/>
  <c r="K816" i="1" s="1"/>
  <c r="B813" i="1"/>
  <c r="K813" i="1" s="1"/>
  <c r="K815" i="1"/>
  <c r="K812" i="1"/>
  <c r="L818" i="1"/>
  <c r="L819" i="1"/>
  <c r="M820" i="1"/>
  <c r="B811" i="1"/>
  <c r="B810" i="1"/>
  <c r="D810" i="1" s="1"/>
  <c r="B809" i="1"/>
  <c r="B808" i="1"/>
  <c r="M807" i="1"/>
  <c r="L806" i="1"/>
  <c r="B804" i="1"/>
  <c r="D804" i="1" s="1"/>
  <c r="M804" i="1" s="1"/>
  <c r="B803" i="1"/>
  <c r="D803" i="1" s="1"/>
  <c r="B802" i="1"/>
  <c r="D802" i="1" s="1"/>
  <c r="B801" i="1"/>
  <c r="M800" i="1"/>
  <c r="L799" i="1"/>
  <c r="B797" i="1"/>
  <c r="D797" i="1" s="1"/>
  <c r="B796" i="1"/>
  <c r="D796" i="1" s="1"/>
  <c r="B795" i="1"/>
  <c r="D795" i="1" s="1"/>
  <c r="M795" i="1" s="1"/>
  <c r="B794" i="1"/>
  <c r="M793" i="1"/>
  <c r="L792" i="1"/>
  <c r="B790" i="1"/>
  <c r="D790" i="1" s="1"/>
  <c r="B789" i="1"/>
  <c r="D789" i="1" s="1"/>
  <c r="B788" i="1"/>
  <c r="D788" i="1" s="1"/>
  <c r="B787" i="1"/>
  <c r="M786" i="1"/>
  <c r="L785" i="1"/>
  <c r="B783" i="1"/>
  <c r="D783" i="1" s="1"/>
  <c r="M783" i="1" s="1"/>
  <c r="B782" i="1"/>
  <c r="D782" i="1" s="1"/>
  <c r="B781" i="1"/>
  <c r="D781" i="1" s="1"/>
  <c r="B780" i="1"/>
  <c r="M779" i="1"/>
  <c r="L778" i="1"/>
  <c r="B776" i="1"/>
  <c r="D776" i="1" s="1"/>
  <c r="B775" i="1"/>
  <c r="D775" i="1" s="1"/>
  <c r="B774" i="1"/>
  <c r="D774" i="1" s="1"/>
  <c r="M774" i="1" s="1"/>
  <c r="B773" i="1"/>
  <c r="M772" i="1"/>
  <c r="L771" i="1"/>
  <c r="B769" i="1"/>
  <c r="B768" i="1"/>
  <c r="D768" i="1" s="1"/>
  <c r="B767" i="1"/>
  <c r="D767" i="1" s="1"/>
  <c r="B766" i="1"/>
  <c r="M765" i="1"/>
  <c r="L764" i="1"/>
  <c r="B762" i="1"/>
  <c r="D762" i="1" s="1"/>
  <c r="B761" i="1"/>
  <c r="D761" i="1" s="1"/>
  <c r="B760" i="1"/>
  <c r="D760" i="1" s="1"/>
  <c r="B759" i="1"/>
  <c r="M758" i="1"/>
  <c r="L757" i="1"/>
  <c r="B755" i="1"/>
  <c r="D755" i="1" s="1"/>
  <c r="B754" i="1"/>
  <c r="D754" i="1" s="1"/>
  <c r="B753" i="1"/>
  <c r="D753" i="1" s="1"/>
  <c r="B752" i="1"/>
  <c r="M751" i="1"/>
  <c r="L750" i="1"/>
  <c r="B748" i="1"/>
  <c r="D748" i="1" s="1"/>
  <c r="B747" i="1"/>
  <c r="D747" i="1" s="1"/>
  <c r="B746" i="1"/>
  <c r="D746" i="1" s="1"/>
  <c r="B745" i="1"/>
  <c r="M744" i="1"/>
  <c r="L743" i="1"/>
  <c r="B741" i="1"/>
  <c r="D741" i="1" s="1"/>
  <c r="B740" i="1"/>
  <c r="D740" i="1" s="1"/>
  <c r="B739" i="1"/>
  <c r="B738" i="1"/>
  <c r="M737" i="1"/>
  <c r="L736" i="1"/>
  <c r="B732" i="1"/>
  <c r="D732" i="1" s="1"/>
  <c r="B731" i="1"/>
  <c r="D731" i="1" s="1"/>
  <c r="B730" i="1"/>
  <c r="D730" i="1" s="1"/>
  <c r="B729" i="1"/>
  <c r="L727" i="1"/>
  <c r="B1064" i="1"/>
  <c r="M1063" i="1"/>
  <c r="L1061" i="1"/>
  <c r="B1059" i="1"/>
  <c r="M1058" i="1"/>
  <c r="L1056" i="1"/>
  <c r="B1054" i="1"/>
  <c r="M1053" i="1"/>
  <c r="L1051" i="1"/>
  <c r="B719" i="1"/>
  <c r="M718" i="1"/>
  <c r="M717" i="1"/>
  <c r="B716" i="1"/>
  <c r="M715" i="1"/>
  <c r="L713" i="1"/>
  <c r="L712" i="1"/>
  <c r="B711" i="1"/>
  <c r="M710" i="1"/>
  <c r="M709" i="1"/>
  <c r="B708" i="1"/>
  <c r="M707" i="1"/>
  <c r="L705" i="1"/>
  <c r="L704" i="1"/>
  <c r="B703" i="1"/>
  <c r="M702" i="1"/>
  <c r="M701" i="1"/>
  <c r="B700" i="1"/>
  <c r="M699" i="1"/>
  <c r="L697" i="1"/>
  <c r="L696" i="1"/>
  <c r="B695" i="1"/>
  <c r="M694" i="1"/>
  <c r="M693" i="1"/>
  <c r="B692" i="1"/>
  <c r="M691" i="1"/>
  <c r="L689" i="1"/>
  <c r="L688" i="1"/>
  <c r="B687" i="1"/>
  <c r="M686" i="1"/>
  <c r="M685" i="1"/>
  <c r="B684" i="1"/>
  <c r="M683" i="1"/>
  <c r="L681" i="1"/>
  <c r="L680" i="1"/>
  <c r="B679" i="1"/>
  <c r="M678" i="1"/>
  <c r="M677" i="1"/>
  <c r="B676" i="1"/>
  <c r="M675" i="1"/>
  <c r="L673" i="1"/>
  <c r="L672" i="1"/>
  <c r="B671" i="1"/>
  <c r="M670" i="1"/>
  <c r="M669" i="1"/>
  <c r="B668" i="1"/>
  <c r="M667" i="1"/>
  <c r="L665" i="1"/>
  <c r="L664" i="1"/>
  <c r="F16" i="5"/>
  <c r="F20" i="5"/>
  <c r="F19" i="5"/>
  <c r="F18" i="5"/>
  <c r="F17" i="5"/>
  <c r="F15" i="5"/>
  <c r="F14" i="5"/>
  <c r="L5" i="5"/>
  <c r="L6" i="5"/>
  <c r="L7" i="5"/>
  <c r="L8" i="5"/>
  <c r="L9" i="5"/>
  <c r="L4" i="5"/>
  <c r="G31" i="2"/>
  <c r="F671" i="1" s="1"/>
  <c r="G32" i="2"/>
  <c r="F679" i="1" s="1"/>
  <c r="G33" i="2"/>
  <c r="F687" i="1" s="1"/>
  <c r="G34" i="2"/>
  <c r="F695" i="1" s="1"/>
  <c r="G35" i="2"/>
  <c r="F711" i="1" s="1"/>
  <c r="G36" i="2"/>
  <c r="G37" i="2"/>
  <c r="G38" i="2"/>
  <c r="F918" i="1" s="1"/>
  <c r="G39" i="2"/>
  <c r="G40" i="2"/>
  <c r="G41" i="2"/>
  <c r="G30" i="2"/>
  <c r="F663" i="1" s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3" i="2"/>
  <c r="D512" i="1"/>
  <c r="M511" i="1"/>
  <c r="F510" i="1"/>
  <c r="D510" i="1"/>
  <c r="M509" i="1"/>
  <c r="L507" i="1"/>
  <c r="L506" i="1"/>
  <c r="D496" i="1"/>
  <c r="M495" i="1"/>
  <c r="F494" i="1"/>
  <c r="D494" i="1"/>
  <c r="M493" i="1"/>
  <c r="L491" i="1"/>
  <c r="L490" i="1"/>
  <c r="D480" i="1"/>
  <c r="M479" i="1"/>
  <c r="F478" i="1"/>
  <c r="D478" i="1"/>
  <c r="M477" i="1"/>
  <c r="L475" i="1"/>
  <c r="L474" i="1"/>
  <c r="D464" i="1"/>
  <c r="M463" i="1"/>
  <c r="F462" i="1"/>
  <c r="D462" i="1"/>
  <c r="M461" i="1"/>
  <c r="L459" i="1"/>
  <c r="L458" i="1"/>
  <c r="D262" i="1"/>
  <c r="K261" i="1"/>
  <c r="B262" i="1"/>
  <c r="A42" i="3"/>
  <c r="A41" i="3"/>
  <c r="M728" i="1"/>
  <c r="M1048" i="1"/>
  <c r="M661" i="1"/>
  <c r="M659" i="1"/>
  <c r="L656" i="1"/>
  <c r="B663" i="1"/>
  <c r="M662" i="1"/>
  <c r="B660" i="1"/>
  <c r="L657" i="1"/>
  <c r="J171" i="1"/>
  <c r="J183" i="1"/>
  <c r="J135" i="1"/>
  <c r="J195" i="1"/>
  <c r="K931" i="1"/>
  <c r="B264" i="1"/>
  <c r="K264" i="1" s="1"/>
  <c r="B1049" i="1"/>
  <c r="L1046" i="1"/>
  <c r="B724" i="1"/>
  <c r="K724" i="1" s="1"/>
  <c r="K723" i="1"/>
  <c r="A98" i="3"/>
  <c r="A97" i="3"/>
  <c r="A94" i="3"/>
  <c r="A93" i="3"/>
  <c r="K1068" i="1"/>
  <c r="A72" i="3"/>
  <c r="A70" i="3"/>
  <c r="A69" i="3"/>
  <c r="A66" i="3"/>
  <c r="A65" i="3"/>
  <c r="A54" i="3"/>
  <c r="A52" i="3"/>
  <c r="A51" i="3"/>
  <c r="A48" i="3"/>
  <c r="A47" i="3"/>
  <c r="J63" i="1"/>
  <c r="J111" i="1"/>
  <c r="J87" i="1"/>
  <c r="M26" i="2"/>
  <c r="L26" i="2"/>
  <c r="K26" i="2"/>
  <c r="J26" i="2"/>
  <c r="I26" i="2"/>
  <c r="H26" i="2"/>
  <c r="M25" i="2"/>
  <c r="L25" i="2"/>
  <c r="K25" i="2"/>
  <c r="J25" i="2"/>
  <c r="I25" i="2"/>
  <c r="H25" i="2"/>
  <c r="M24" i="2"/>
  <c r="L24" i="2"/>
  <c r="K24" i="2"/>
  <c r="J24" i="2"/>
  <c r="I24" i="2"/>
  <c r="H24" i="2"/>
  <c r="M23" i="2"/>
  <c r="L23" i="2"/>
  <c r="K23" i="2"/>
  <c r="J23" i="2"/>
  <c r="I23" i="2"/>
  <c r="H23" i="2"/>
  <c r="M22" i="2"/>
  <c r="L22" i="2"/>
  <c r="K22" i="2"/>
  <c r="J22" i="2"/>
  <c r="I22" i="2"/>
  <c r="H22" i="2"/>
  <c r="M21" i="2"/>
  <c r="L21" i="2"/>
  <c r="K21" i="2"/>
  <c r="J21" i="2"/>
  <c r="I21" i="2"/>
  <c r="H21" i="2"/>
  <c r="M20" i="2"/>
  <c r="L20" i="2"/>
  <c r="K20" i="2"/>
  <c r="J20" i="2"/>
  <c r="I20" i="2"/>
  <c r="H20" i="2"/>
  <c r="M19" i="2"/>
  <c r="L19" i="2"/>
  <c r="F537" i="1" s="1"/>
  <c r="K19" i="2"/>
  <c r="D537" i="1" s="1"/>
  <c r="J19" i="2"/>
  <c r="B537" i="1" s="1"/>
  <c r="I19" i="2"/>
  <c r="F536" i="1" s="1"/>
  <c r="H19" i="2"/>
  <c r="D536" i="1" s="1"/>
  <c r="M18" i="2"/>
  <c r="L18" i="2"/>
  <c r="K18" i="2"/>
  <c r="J18" i="2"/>
  <c r="I18" i="2"/>
  <c r="H18" i="2"/>
  <c r="M17" i="2"/>
  <c r="L17" i="2"/>
  <c r="K17" i="2"/>
  <c r="J17" i="2"/>
  <c r="I17" i="2"/>
  <c r="H17" i="2"/>
  <c r="M16" i="2"/>
  <c r="L16" i="2"/>
  <c r="K16" i="2"/>
  <c r="J16" i="2"/>
  <c r="I16" i="2"/>
  <c r="H16" i="2"/>
  <c r="M15" i="2"/>
  <c r="L15" i="2"/>
  <c r="K15" i="2"/>
  <c r="J15" i="2"/>
  <c r="I15" i="2"/>
  <c r="H15" i="2"/>
  <c r="M14" i="2"/>
  <c r="L14" i="2"/>
  <c r="K14" i="2"/>
  <c r="J14" i="2"/>
  <c r="I14" i="2"/>
  <c r="H14" i="2"/>
  <c r="M13" i="2"/>
  <c r="L13" i="2"/>
  <c r="K13" i="2"/>
  <c r="J13" i="2"/>
  <c r="I13" i="2"/>
  <c r="H13" i="2"/>
  <c r="M12" i="2"/>
  <c r="L12" i="2"/>
  <c r="K12" i="2"/>
  <c r="J12" i="2"/>
  <c r="I12" i="2"/>
  <c r="H12" i="2"/>
  <c r="M11" i="2"/>
  <c r="L11" i="2"/>
  <c r="K11" i="2"/>
  <c r="J11" i="2"/>
  <c r="I11" i="2"/>
  <c r="H11" i="2"/>
  <c r="M10" i="2"/>
  <c r="L10" i="2"/>
  <c r="K10" i="2"/>
  <c r="J10" i="2"/>
  <c r="I10" i="2"/>
  <c r="H10" i="2"/>
  <c r="M9" i="2"/>
  <c r="L9" i="2"/>
  <c r="K9" i="2"/>
  <c r="J9" i="2"/>
  <c r="I9" i="2"/>
  <c r="H9" i="2"/>
  <c r="M8" i="2"/>
  <c r="L8" i="2"/>
  <c r="K8" i="2"/>
  <c r="J8" i="2"/>
  <c r="I8" i="2"/>
  <c r="H8" i="2"/>
  <c r="M7" i="2"/>
  <c r="L7" i="2"/>
  <c r="K7" i="2"/>
  <c r="J7" i="2"/>
  <c r="I7" i="2"/>
  <c r="H7" i="2"/>
  <c r="M6" i="2"/>
  <c r="L6" i="2"/>
  <c r="K6" i="2"/>
  <c r="J6" i="2"/>
  <c r="I6" i="2"/>
  <c r="H6" i="2"/>
  <c r="M5" i="2"/>
  <c r="L5" i="2"/>
  <c r="K5" i="2"/>
  <c r="J5" i="2"/>
  <c r="I5" i="2"/>
  <c r="H5" i="2"/>
  <c r="M4" i="2"/>
  <c r="L4" i="2"/>
  <c r="K4" i="2"/>
  <c r="J4" i="2"/>
  <c r="I4" i="2"/>
  <c r="H4" i="2"/>
  <c r="M3" i="2"/>
  <c r="L3" i="2"/>
  <c r="K3" i="2"/>
  <c r="J3" i="2"/>
  <c r="I3" i="2"/>
  <c r="H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B536" i="1" s="1"/>
  <c r="G20" i="2"/>
  <c r="G21" i="2"/>
  <c r="G22" i="2"/>
  <c r="G23" i="2"/>
  <c r="G24" i="2"/>
  <c r="G25" i="2"/>
  <c r="G26" i="2"/>
  <c r="G3" i="2"/>
  <c r="B274" i="1" s="1"/>
  <c r="M645" i="1"/>
  <c r="M643" i="1"/>
  <c r="M629" i="1"/>
  <c r="M627" i="1"/>
  <c r="M613" i="1"/>
  <c r="M611" i="1"/>
  <c r="M597" i="1"/>
  <c r="M595" i="1"/>
  <c r="M581" i="1"/>
  <c r="M579" i="1"/>
  <c r="M565" i="1"/>
  <c r="M563" i="1"/>
  <c r="M549" i="1"/>
  <c r="M547" i="1"/>
  <c r="D448" i="1"/>
  <c r="M447" i="1"/>
  <c r="F446" i="1"/>
  <c r="D446" i="1"/>
  <c r="M445" i="1"/>
  <c r="L443" i="1"/>
  <c r="A36" i="3"/>
  <c r="A35" i="3"/>
  <c r="A12" i="3"/>
  <c r="K258" i="1"/>
  <c r="D259" i="1"/>
  <c r="B259" i="1"/>
  <c r="K257" i="1"/>
  <c r="F256" i="1"/>
  <c r="D256" i="1"/>
  <c r="K255" i="1"/>
  <c r="B721" i="1"/>
  <c r="K721" i="1" s="1"/>
  <c r="L641" i="1"/>
  <c r="L640" i="1"/>
  <c r="L625" i="1"/>
  <c r="L624" i="1"/>
  <c r="L609" i="1"/>
  <c r="L608" i="1"/>
  <c r="L593" i="1"/>
  <c r="L592" i="1"/>
  <c r="L577" i="1"/>
  <c r="L576" i="1"/>
  <c r="L561" i="1"/>
  <c r="L560" i="1"/>
  <c r="L545" i="1"/>
  <c r="C545" i="1"/>
  <c r="C561" i="1" s="1"/>
  <c r="D572" i="1" s="1"/>
  <c r="B545" i="1"/>
  <c r="L544" i="1"/>
  <c r="M533" i="1"/>
  <c r="M531" i="1"/>
  <c r="L529" i="1"/>
  <c r="A529" i="1"/>
  <c r="L528" i="1"/>
  <c r="B526" i="1"/>
  <c r="K526" i="1" s="1"/>
  <c r="K525" i="1"/>
  <c r="A267" i="1"/>
  <c r="F270" i="1" s="1"/>
  <c r="D432" i="1"/>
  <c r="M431" i="1"/>
  <c r="F430" i="1"/>
  <c r="D430" i="1"/>
  <c r="M429" i="1"/>
  <c r="D416" i="1"/>
  <c r="M415" i="1"/>
  <c r="F414" i="1"/>
  <c r="D414" i="1"/>
  <c r="M413" i="1"/>
  <c r="D400" i="1"/>
  <c r="M399" i="1"/>
  <c r="F398" i="1"/>
  <c r="D398" i="1"/>
  <c r="M397" i="1"/>
  <c r="D384" i="1"/>
  <c r="M383" i="1"/>
  <c r="F382" i="1"/>
  <c r="D382" i="1"/>
  <c r="M381" i="1"/>
  <c r="D368" i="1"/>
  <c r="M367" i="1"/>
  <c r="F366" i="1"/>
  <c r="D366" i="1"/>
  <c r="M365" i="1"/>
  <c r="D352" i="1"/>
  <c r="M351" i="1"/>
  <c r="F350" i="1"/>
  <c r="D350" i="1"/>
  <c r="M349" i="1"/>
  <c r="D336" i="1"/>
  <c r="M335" i="1"/>
  <c r="F334" i="1"/>
  <c r="D334" i="1"/>
  <c r="M333" i="1"/>
  <c r="D320" i="1"/>
  <c r="M319" i="1"/>
  <c r="F318" i="1"/>
  <c r="D318" i="1"/>
  <c r="M317" i="1"/>
  <c r="D304" i="1"/>
  <c r="M303" i="1"/>
  <c r="F302" i="1"/>
  <c r="D302" i="1"/>
  <c r="M301" i="1"/>
  <c r="D288" i="1"/>
  <c r="M287" i="1"/>
  <c r="F286" i="1"/>
  <c r="D286" i="1"/>
  <c r="M285" i="1"/>
  <c r="B523" i="1"/>
  <c r="K523" i="1" s="1"/>
  <c r="L427" i="1"/>
  <c r="L411" i="1"/>
  <c r="L395" i="1"/>
  <c r="L379" i="1"/>
  <c r="L363" i="1"/>
  <c r="L347" i="1"/>
  <c r="L331" i="1"/>
  <c r="L315" i="1"/>
  <c r="L299" i="1"/>
  <c r="L283" i="1"/>
  <c r="L267" i="1"/>
  <c r="K263" i="1"/>
  <c r="B245" i="1"/>
  <c r="K245" i="1" s="1"/>
  <c r="A29" i="3"/>
  <c r="B256" i="1"/>
  <c r="A25" i="3"/>
  <c r="D254" i="1"/>
  <c r="B254" i="1"/>
  <c r="K253" i="1"/>
  <c r="A20" i="3"/>
  <c r="A19" i="3"/>
  <c r="A13" i="3"/>
  <c r="D6" i="4"/>
  <c r="B251" i="1" s="1"/>
  <c r="K251" i="1" s="1"/>
  <c r="B249" i="1"/>
  <c r="K249" i="1" s="1"/>
  <c r="K248" i="1"/>
  <c r="B246" i="1"/>
  <c r="K246" i="1" s="1"/>
  <c r="K244" i="1"/>
  <c r="L442" i="1"/>
  <c r="L426" i="1"/>
  <c r="L410" i="1"/>
  <c r="L394" i="1"/>
  <c r="L378" i="1"/>
  <c r="L362" i="1"/>
  <c r="L346" i="1"/>
  <c r="L330" i="1"/>
  <c r="L314" i="1"/>
  <c r="L298" i="1"/>
  <c r="K522" i="1"/>
  <c r="L266" i="1"/>
  <c r="J238" i="1"/>
  <c r="J52" i="1"/>
  <c r="I2" i="1"/>
  <c r="M271" i="1"/>
  <c r="M269" i="1"/>
  <c r="K720" i="1"/>
  <c r="L282" i="1"/>
  <c r="C283" i="1"/>
  <c r="B283" i="1"/>
  <c r="D297" i="1" s="1"/>
  <c r="K1069" i="1"/>
  <c r="I51" i="1"/>
  <c r="D281" i="1"/>
  <c r="B281" i="1"/>
  <c r="D279" i="1"/>
  <c r="B279" i="1"/>
  <c r="D278" i="1"/>
  <c r="B277" i="1"/>
  <c r="B278" i="1"/>
  <c r="D277" i="1"/>
  <c r="A4" i="3"/>
  <c r="A5" i="3" s="1"/>
  <c r="A6" i="3" s="1"/>
  <c r="A7" i="3" s="1"/>
  <c r="D239" i="1"/>
  <c r="B239" i="1"/>
  <c r="B272" i="1"/>
  <c r="C275" i="1"/>
  <c r="C274" i="1"/>
  <c r="B270" i="1"/>
  <c r="F719" i="1" l="1"/>
  <c r="F761" i="1"/>
  <c r="M761" i="1" s="1"/>
  <c r="F789" i="1"/>
  <c r="M789" i="1" s="1"/>
  <c r="D556" i="1"/>
  <c r="J160" i="1"/>
  <c r="G552" i="1"/>
  <c r="B291" i="1"/>
  <c r="D555" i="1"/>
  <c r="B572" i="1"/>
  <c r="F572" i="1"/>
  <c r="B568" i="1"/>
  <c r="D290" i="1"/>
  <c r="F291" i="1"/>
  <c r="D552" i="1"/>
  <c r="F553" i="1"/>
  <c r="B569" i="1"/>
  <c r="G553" i="1"/>
  <c r="B571" i="1"/>
  <c r="J146" i="1"/>
  <c r="C147" i="1"/>
  <c r="C204" i="1"/>
  <c r="J204" i="1" s="1"/>
  <c r="J203" i="1"/>
  <c r="C174" i="1"/>
  <c r="J174" i="1" s="1"/>
  <c r="J173" i="1"/>
  <c r="B552" i="1"/>
  <c r="B290" i="1"/>
  <c r="F290" i="1"/>
  <c r="F552" i="1"/>
  <c r="D569" i="1"/>
  <c r="B293" i="1"/>
  <c r="B294" i="1"/>
  <c r="F294" i="1"/>
  <c r="A552" i="1"/>
  <c r="A553" i="1"/>
  <c r="E556" i="1"/>
  <c r="B557" i="1"/>
  <c r="B559" i="1"/>
  <c r="B564" i="1"/>
  <c r="B566" i="1"/>
  <c r="E568" i="1"/>
  <c r="E569" i="1"/>
  <c r="G572" i="1"/>
  <c r="D573" i="1"/>
  <c r="D575" i="1"/>
  <c r="A290" i="1"/>
  <c r="A291" i="1"/>
  <c r="E294" i="1"/>
  <c r="B295" i="1"/>
  <c r="B297" i="1"/>
  <c r="D291" i="1"/>
  <c r="D553" i="1"/>
  <c r="F568" i="1"/>
  <c r="G290" i="1"/>
  <c r="G291" i="1"/>
  <c r="D293" i="1"/>
  <c r="D294" i="1"/>
  <c r="B548" i="1"/>
  <c r="B550" i="1"/>
  <c r="E552" i="1"/>
  <c r="E553" i="1"/>
  <c r="G556" i="1"/>
  <c r="D557" i="1"/>
  <c r="D559" i="1"/>
  <c r="A568" i="1"/>
  <c r="A569" i="1"/>
  <c r="E572" i="1"/>
  <c r="B573" i="1"/>
  <c r="B575" i="1"/>
  <c r="B553" i="1"/>
  <c r="D568" i="1"/>
  <c r="F569" i="1"/>
  <c r="E290" i="1"/>
  <c r="E291" i="1"/>
  <c r="G294" i="1"/>
  <c r="D295" i="1"/>
  <c r="B555" i="1"/>
  <c r="B556" i="1"/>
  <c r="F556" i="1"/>
  <c r="G568" i="1"/>
  <c r="G569" i="1"/>
  <c r="D571" i="1"/>
  <c r="J209" i="1"/>
  <c r="C210" i="1"/>
  <c r="J208" i="1"/>
  <c r="J144" i="1"/>
  <c r="C162" i="1"/>
  <c r="J145" i="1"/>
  <c r="J143" i="1"/>
  <c r="C192" i="1"/>
  <c r="J191" i="1"/>
  <c r="C923" i="1"/>
  <c r="B926" i="1" s="1"/>
  <c r="F740" i="1"/>
  <c r="M740" i="1" s="1"/>
  <c r="F768" i="1"/>
  <c r="M768" i="1" s="1"/>
  <c r="F796" i="1"/>
  <c r="M796" i="1" s="1"/>
  <c r="F747" i="1"/>
  <c r="M747" i="1" s="1"/>
  <c r="F775" i="1"/>
  <c r="M775" i="1" s="1"/>
  <c r="F803" i="1"/>
  <c r="M803" i="1" s="1"/>
  <c r="F754" i="1"/>
  <c r="M754" i="1" s="1"/>
  <c r="F782" i="1"/>
  <c r="M782" i="1" s="1"/>
  <c r="F810" i="1"/>
  <c r="M810" i="1" s="1"/>
  <c r="B825" i="1"/>
  <c r="F922" i="1"/>
  <c r="F703" i="1"/>
  <c r="F825" i="1"/>
  <c r="D825" i="1"/>
  <c r="A827" i="1"/>
  <c r="F821" i="1"/>
  <c r="C831" i="1"/>
  <c r="M762" i="1"/>
  <c r="M755" i="1"/>
  <c r="D821" i="1"/>
  <c r="M748" i="1"/>
  <c r="B821" i="1"/>
  <c r="M753" i="1"/>
  <c r="M790" i="1"/>
  <c r="M781" i="1"/>
  <c r="D811" i="1"/>
  <c r="M811" i="1" s="1"/>
  <c r="M802" i="1"/>
  <c r="M797" i="1"/>
  <c r="D809" i="1"/>
  <c r="M809" i="1" s="1"/>
  <c r="M788" i="1"/>
  <c r="D769" i="1"/>
  <c r="M769" i="1" s="1"/>
  <c r="M767" i="1"/>
  <c r="M776" i="1"/>
  <c r="M760" i="1"/>
  <c r="M746" i="1"/>
  <c r="M741" i="1"/>
  <c r="D739" i="1"/>
  <c r="M739" i="1" s="1"/>
  <c r="A283" i="1"/>
  <c r="M732" i="1"/>
  <c r="D1049" i="1"/>
  <c r="M1049" i="1" s="1"/>
  <c r="J136" i="1"/>
  <c r="K262" i="1"/>
  <c r="M730" i="1"/>
  <c r="K259" i="1"/>
  <c r="F731" i="1"/>
  <c r="M731" i="1" s="1"/>
  <c r="J137" i="1"/>
  <c r="K256" i="1"/>
  <c r="J64" i="1"/>
  <c r="B286" i="1"/>
  <c r="B288" i="1"/>
  <c r="D270" i="1"/>
  <c r="D272" i="1"/>
  <c r="D274" i="1"/>
  <c r="F274" i="1"/>
  <c r="D532" i="1"/>
  <c r="D534" i="1"/>
  <c r="M541" i="1"/>
  <c r="A545" i="1"/>
  <c r="C577" i="1"/>
  <c r="D584" i="1" s="1"/>
  <c r="F532" i="1"/>
  <c r="B561" i="1"/>
  <c r="K254" i="1"/>
  <c r="C299" i="1"/>
  <c r="F307" i="1" s="1"/>
  <c r="B299" i="1"/>
  <c r="J239" i="1"/>
  <c r="B306" i="1" l="1"/>
  <c r="D307" i="1"/>
  <c r="D306" i="1"/>
  <c r="C175" i="1"/>
  <c r="F584" i="1"/>
  <c r="B584" i="1"/>
  <c r="D550" i="1"/>
  <c r="D548" i="1"/>
  <c r="F548" i="1"/>
  <c r="B585" i="1"/>
  <c r="D585" i="1"/>
  <c r="F306" i="1"/>
  <c r="D310" i="1"/>
  <c r="D309" i="1"/>
  <c r="G307" i="1"/>
  <c r="G306" i="1"/>
  <c r="B313" i="1"/>
  <c r="B311" i="1"/>
  <c r="E310" i="1"/>
  <c r="A307" i="1"/>
  <c r="A306" i="1"/>
  <c r="F310" i="1"/>
  <c r="B310" i="1"/>
  <c r="B309" i="1"/>
  <c r="D313" i="1"/>
  <c r="D311" i="1"/>
  <c r="G310" i="1"/>
  <c r="E307" i="1"/>
  <c r="E306" i="1"/>
  <c r="C148" i="1"/>
  <c r="J147" i="1"/>
  <c r="C205" i="1"/>
  <c r="C206" i="1" s="1"/>
  <c r="J206" i="1" s="1"/>
  <c r="F588" i="1"/>
  <c r="B588" i="1"/>
  <c r="B587" i="1"/>
  <c r="D591" i="1"/>
  <c r="D589" i="1"/>
  <c r="G588" i="1"/>
  <c r="E585" i="1"/>
  <c r="E584" i="1"/>
  <c r="B582" i="1"/>
  <c r="B580" i="1"/>
  <c r="D588" i="1"/>
  <c r="D587" i="1"/>
  <c r="G585" i="1"/>
  <c r="G584" i="1"/>
  <c r="B591" i="1"/>
  <c r="B589" i="1"/>
  <c r="E588" i="1"/>
  <c r="A585" i="1"/>
  <c r="A584" i="1"/>
  <c r="F585" i="1"/>
  <c r="B307" i="1"/>
  <c r="C211" i="1"/>
  <c r="J210" i="1"/>
  <c r="C163" i="1"/>
  <c r="J162" i="1"/>
  <c r="J205" i="1"/>
  <c r="C193" i="1"/>
  <c r="J192" i="1"/>
  <c r="C176" i="1"/>
  <c r="J175" i="1"/>
  <c r="F926" i="1"/>
  <c r="C927" i="1"/>
  <c r="B930" i="1" s="1"/>
  <c r="J74" i="1"/>
  <c r="M825" i="1"/>
  <c r="D829" i="1"/>
  <c r="A831" i="1"/>
  <c r="F829" i="1"/>
  <c r="B833" i="1"/>
  <c r="C835" i="1"/>
  <c r="M821" i="1"/>
  <c r="M286" i="1"/>
  <c r="D1054" i="1"/>
  <c r="M1054" i="1" s="1"/>
  <c r="M281" i="1"/>
  <c r="M297" i="1"/>
  <c r="M288" i="1"/>
  <c r="A299" i="1"/>
  <c r="M295" i="1"/>
  <c r="M270" i="1"/>
  <c r="M279" i="1"/>
  <c r="M277" i="1"/>
  <c r="M272" i="1"/>
  <c r="J73" i="1"/>
  <c r="M278" i="1"/>
  <c r="J138" i="1"/>
  <c r="J67" i="1"/>
  <c r="J69" i="1"/>
  <c r="J71" i="1"/>
  <c r="J66" i="1"/>
  <c r="J68" i="1"/>
  <c r="J70" i="1"/>
  <c r="J72" i="1"/>
  <c r="J65" i="1"/>
  <c r="B304" i="1"/>
  <c r="B302" i="1"/>
  <c r="M274" i="1"/>
  <c r="B275" i="1"/>
  <c r="M543" i="1"/>
  <c r="M539" i="1"/>
  <c r="M534" i="1"/>
  <c r="B577" i="1"/>
  <c r="C593" i="1"/>
  <c r="M540" i="1"/>
  <c r="M537" i="1"/>
  <c r="A561" i="1"/>
  <c r="M536" i="1"/>
  <c r="M532" i="1"/>
  <c r="B315" i="1"/>
  <c r="C315" i="1"/>
  <c r="D604" i="1" l="1"/>
  <c r="D603" i="1"/>
  <c r="G601" i="1"/>
  <c r="G600" i="1"/>
  <c r="B607" i="1"/>
  <c r="B605" i="1"/>
  <c r="E604" i="1"/>
  <c r="A601" i="1"/>
  <c r="A600" i="1"/>
  <c r="F604" i="1"/>
  <c r="B604" i="1"/>
  <c r="B603" i="1"/>
  <c r="D607" i="1"/>
  <c r="D605" i="1"/>
  <c r="G604" i="1"/>
  <c r="E601" i="1"/>
  <c r="E600" i="1"/>
  <c r="B598" i="1"/>
  <c r="B596" i="1"/>
  <c r="D601" i="1"/>
  <c r="B601" i="1"/>
  <c r="F600" i="1"/>
  <c r="D600" i="1"/>
  <c r="B600" i="1"/>
  <c r="F601" i="1"/>
  <c r="B329" i="1"/>
  <c r="B327" i="1"/>
  <c r="E326" i="1"/>
  <c r="A323" i="1"/>
  <c r="A322" i="1"/>
  <c r="F326" i="1"/>
  <c r="B326" i="1"/>
  <c r="B325" i="1"/>
  <c r="D329" i="1"/>
  <c r="D327" i="1"/>
  <c r="G326" i="1"/>
  <c r="E323" i="1"/>
  <c r="E322" i="1"/>
  <c r="D326" i="1"/>
  <c r="D325" i="1"/>
  <c r="G323" i="1"/>
  <c r="G322" i="1"/>
  <c r="F323" i="1"/>
  <c r="F322" i="1"/>
  <c r="D323" i="1"/>
  <c r="D322" i="1"/>
  <c r="B323" i="1"/>
  <c r="B322" i="1"/>
  <c r="D566" i="1"/>
  <c r="D564" i="1"/>
  <c r="F564" i="1"/>
  <c r="J148" i="1"/>
  <c r="C149" i="1"/>
  <c r="J211" i="1"/>
  <c r="C212" i="1"/>
  <c r="C164" i="1"/>
  <c r="J163" i="1"/>
  <c r="C194" i="1"/>
  <c r="J194" i="1" s="1"/>
  <c r="J193" i="1"/>
  <c r="J176" i="1"/>
  <c r="C177" i="1"/>
  <c r="F930" i="1"/>
  <c r="J75" i="1"/>
  <c r="M829" i="1"/>
  <c r="B837" i="1"/>
  <c r="C839" i="1"/>
  <c r="A835" i="1"/>
  <c r="F833" i="1"/>
  <c r="D833" i="1"/>
  <c r="M293" i="1"/>
  <c r="D1059" i="1"/>
  <c r="M1059" i="1" s="1"/>
  <c r="M304" i="1"/>
  <c r="M294" i="1"/>
  <c r="M291" i="1"/>
  <c r="A315" i="1"/>
  <c r="M302" i="1"/>
  <c r="M311" i="1"/>
  <c r="M290" i="1"/>
  <c r="J185" i="1"/>
  <c r="J139" i="1"/>
  <c r="M553" i="1"/>
  <c r="M550" i="1"/>
  <c r="B320" i="1"/>
  <c r="B318" i="1"/>
  <c r="M557" i="1"/>
  <c r="M559" i="1"/>
  <c r="M548" i="1"/>
  <c r="M552" i="1"/>
  <c r="M555" i="1"/>
  <c r="M556" i="1"/>
  <c r="F275" i="1"/>
  <c r="D275" i="1"/>
  <c r="A577" i="1"/>
  <c r="B593" i="1"/>
  <c r="C609" i="1"/>
  <c r="C331" i="1"/>
  <c r="B331" i="1"/>
  <c r="J149" i="1" l="1"/>
  <c r="C150" i="1"/>
  <c r="B338" i="1"/>
  <c r="D338" i="1"/>
  <c r="F339" i="1"/>
  <c r="D339" i="1"/>
  <c r="B339" i="1"/>
  <c r="F338" i="1"/>
  <c r="F620" i="1"/>
  <c r="B620" i="1"/>
  <c r="B619" i="1"/>
  <c r="D623" i="1"/>
  <c r="D621" i="1"/>
  <c r="G620" i="1"/>
  <c r="E617" i="1"/>
  <c r="E616" i="1"/>
  <c r="B614" i="1"/>
  <c r="B612" i="1"/>
  <c r="D620" i="1"/>
  <c r="D619" i="1"/>
  <c r="G617" i="1"/>
  <c r="G616" i="1"/>
  <c r="B623" i="1"/>
  <c r="B621" i="1"/>
  <c r="E620" i="1"/>
  <c r="A617" i="1"/>
  <c r="A616" i="1"/>
  <c r="F617" i="1"/>
  <c r="B616" i="1"/>
  <c r="B617" i="1"/>
  <c r="D617" i="1"/>
  <c r="F616" i="1"/>
  <c r="D616" i="1"/>
  <c r="F342" i="1"/>
  <c r="B342" i="1"/>
  <c r="B341" i="1"/>
  <c r="D345" i="1"/>
  <c r="D343" i="1"/>
  <c r="G342" i="1"/>
  <c r="E339" i="1"/>
  <c r="E338" i="1"/>
  <c r="D342" i="1"/>
  <c r="D341" i="1"/>
  <c r="G339" i="1"/>
  <c r="G338" i="1"/>
  <c r="B345" i="1"/>
  <c r="B343" i="1"/>
  <c r="E342" i="1"/>
  <c r="A339" i="1"/>
  <c r="A338" i="1"/>
  <c r="D582" i="1"/>
  <c r="D580" i="1"/>
  <c r="F580" i="1"/>
  <c r="C213" i="1"/>
  <c r="J212" i="1"/>
  <c r="C165" i="1"/>
  <c r="J164" i="1"/>
  <c r="J177" i="1"/>
  <c r="C178" i="1"/>
  <c r="J76" i="1"/>
  <c r="M833" i="1"/>
  <c r="B841" i="1"/>
  <c r="C843" i="1"/>
  <c r="A839" i="1"/>
  <c r="D837" i="1"/>
  <c r="F837" i="1"/>
  <c r="M313" i="1"/>
  <c r="D1064" i="1"/>
  <c r="M1064" i="1" s="1"/>
  <c r="M310" i="1"/>
  <c r="M329" i="1"/>
  <c r="M307" i="1"/>
  <c r="M309" i="1"/>
  <c r="M306" i="1"/>
  <c r="M318" i="1"/>
  <c r="A331" i="1"/>
  <c r="M320" i="1"/>
  <c r="J140" i="1"/>
  <c r="M571" i="1"/>
  <c r="M573" i="1"/>
  <c r="M575" i="1"/>
  <c r="M568" i="1"/>
  <c r="M566" i="1"/>
  <c r="B336" i="1"/>
  <c r="B334" i="1"/>
  <c r="M564" i="1"/>
  <c r="M569" i="1"/>
  <c r="M572" i="1"/>
  <c r="M275" i="1"/>
  <c r="C625" i="1"/>
  <c r="B609" i="1"/>
  <c r="A593" i="1"/>
  <c r="B347" i="1"/>
  <c r="C347" i="1"/>
  <c r="B355" i="1" l="1"/>
  <c r="B354" i="1"/>
  <c r="F355" i="1"/>
  <c r="D355" i="1"/>
  <c r="F354" i="1"/>
  <c r="D354" i="1"/>
  <c r="D598" i="1"/>
  <c r="D596" i="1"/>
  <c r="F596" i="1"/>
  <c r="J150" i="1"/>
  <c r="C151" i="1"/>
  <c r="D361" i="1"/>
  <c r="D359" i="1"/>
  <c r="G358" i="1"/>
  <c r="E355" i="1"/>
  <c r="E354" i="1"/>
  <c r="D358" i="1"/>
  <c r="D357" i="1"/>
  <c r="G355" i="1"/>
  <c r="G354" i="1"/>
  <c r="B361" i="1"/>
  <c r="B359" i="1"/>
  <c r="E358" i="1"/>
  <c r="A355" i="1"/>
  <c r="A354" i="1"/>
  <c r="F358" i="1"/>
  <c r="B358" i="1"/>
  <c r="B357" i="1"/>
  <c r="D636" i="1"/>
  <c r="D635" i="1"/>
  <c r="G633" i="1"/>
  <c r="G632" i="1"/>
  <c r="B639" i="1"/>
  <c r="B637" i="1"/>
  <c r="E636" i="1"/>
  <c r="A633" i="1"/>
  <c r="A632" i="1"/>
  <c r="F636" i="1"/>
  <c r="B636" i="1"/>
  <c r="B635" i="1"/>
  <c r="D639" i="1"/>
  <c r="D637" i="1"/>
  <c r="G636" i="1"/>
  <c r="E633" i="1"/>
  <c r="E632" i="1"/>
  <c r="B630" i="1"/>
  <c r="B628" i="1"/>
  <c r="F632" i="1"/>
  <c r="D633" i="1"/>
  <c r="F633" i="1"/>
  <c r="B632" i="1"/>
  <c r="B633" i="1"/>
  <c r="D632" i="1"/>
  <c r="J213" i="1"/>
  <c r="C214" i="1"/>
  <c r="C166" i="1"/>
  <c r="J165" i="1"/>
  <c r="J178" i="1"/>
  <c r="C179" i="1"/>
  <c r="J77" i="1"/>
  <c r="M837" i="1"/>
  <c r="B845" i="1"/>
  <c r="C847" i="1"/>
  <c r="F841" i="1"/>
  <c r="D841" i="1"/>
  <c r="A843" i="1"/>
  <c r="M322" i="1"/>
  <c r="M323" i="1"/>
  <c r="M325" i="1"/>
  <c r="A347" i="1"/>
  <c r="M326" i="1"/>
  <c r="M334" i="1"/>
  <c r="M343" i="1"/>
  <c r="M327" i="1"/>
  <c r="M336" i="1"/>
  <c r="J200" i="1"/>
  <c r="J141" i="1"/>
  <c r="M591" i="1"/>
  <c r="M589" i="1"/>
  <c r="M587" i="1"/>
  <c r="M584" i="1"/>
  <c r="B352" i="1"/>
  <c r="B350" i="1"/>
  <c r="M582" i="1"/>
  <c r="M580" i="1"/>
  <c r="M585" i="1"/>
  <c r="M588" i="1"/>
  <c r="A609" i="1"/>
  <c r="C641" i="1"/>
  <c r="B625" i="1"/>
  <c r="C363" i="1"/>
  <c r="B363" i="1"/>
  <c r="F652" i="1" l="1"/>
  <c r="B652" i="1"/>
  <c r="B651" i="1"/>
  <c r="D655" i="1"/>
  <c r="D653" i="1"/>
  <c r="G652" i="1"/>
  <c r="E649" i="1"/>
  <c r="E648" i="1"/>
  <c r="B646" i="1"/>
  <c r="B644" i="1"/>
  <c r="D652" i="1"/>
  <c r="D651" i="1"/>
  <c r="G649" i="1"/>
  <c r="G648" i="1"/>
  <c r="B655" i="1"/>
  <c r="B653" i="1"/>
  <c r="E652" i="1"/>
  <c r="A649" i="1"/>
  <c r="A648" i="1"/>
  <c r="F649" i="1"/>
  <c r="B648" i="1"/>
  <c r="D648" i="1"/>
  <c r="D649" i="1"/>
  <c r="F648" i="1"/>
  <c r="B649" i="1"/>
  <c r="D371" i="1"/>
  <c r="F371" i="1"/>
  <c r="B370" i="1"/>
  <c r="B371" i="1"/>
  <c r="D370" i="1"/>
  <c r="F370" i="1"/>
  <c r="C152" i="1"/>
  <c r="J151" i="1"/>
  <c r="D374" i="1"/>
  <c r="D373" i="1"/>
  <c r="G371" i="1"/>
  <c r="G370" i="1"/>
  <c r="B377" i="1"/>
  <c r="B375" i="1"/>
  <c r="E374" i="1"/>
  <c r="A371" i="1"/>
  <c r="A370" i="1"/>
  <c r="F374" i="1"/>
  <c r="B374" i="1"/>
  <c r="B373" i="1"/>
  <c r="D377" i="1"/>
  <c r="D375" i="1"/>
  <c r="G374" i="1"/>
  <c r="E371" i="1"/>
  <c r="E370" i="1"/>
  <c r="D614" i="1"/>
  <c r="D612" i="1"/>
  <c r="F612" i="1"/>
  <c r="C215" i="1"/>
  <c r="J214" i="1"/>
  <c r="J166" i="1"/>
  <c r="C167" i="1"/>
  <c r="J179" i="1"/>
  <c r="C180" i="1"/>
  <c r="J142" i="1"/>
  <c r="J190" i="1"/>
  <c r="J199" i="1"/>
  <c r="J78" i="1"/>
  <c r="M841" i="1"/>
  <c r="F845" i="1"/>
  <c r="D845" i="1"/>
  <c r="A847" i="1"/>
  <c r="M341" i="1"/>
  <c r="B849" i="1"/>
  <c r="C851" i="1"/>
  <c r="M339" i="1"/>
  <c r="M338" i="1"/>
  <c r="M359" i="1"/>
  <c r="M352" i="1"/>
  <c r="M345" i="1"/>
  <c r="M342" i="1"/>
  <c r="A363" i="1"/>
  <c r="M361" i="1"/>
  <c r="M350" i="1"/>
  <c r="M607" i="1"/>
  <c r="M603" i="1"/>
  <c r="M605" i="1"/>
  <c r="M600" i="1"/>
  <c r="M598" i="1"/>
  <c r="B368" i="1"/>
  <c r="B366" i="1"/>
  <c r="M596" i="1"/>
  <c r="M601" i="1"/>
  <c r="M604" i="1"/>
  <c r="A625" i="1"/>
  <c r="B641" i="1"/>
  <c r="C379" i="1"/>
  <c r="B379" i="1"/>
  <c r="D630" i="1" l="1"/>
  <c r="D628" i="1"/>
  <c r="F628" i="1"/>
  <c r="B393" i="1"/>
  <c r="B391" i="1"/>
  <c r="E390" i="1"/>
  <c r="A387" i="1"/>
  <c r="A386" i="1"/>
  <c r="F390" i="1"/>
  <c r="B390" i="1"/>
  <c r="B389" i="1"/>
  <c r="D393" i="1"/>
  <c r="D391" i="1"/>
  <c r="G390" i="1"/>
  <c r="E387" i="1"/>
  <c r="E386" i="1"/>
  <c r="D390" i="1"/>
  <c r="D389" i="1"/>
  <c r="G387" i="1"/>
  <c r="G386" i="1"/>
  <c r="F386" i="1"/>
  <c r="F387" i="1"/>
  <c r="B386" i="1"/>
  <c r="D387" i="1"/>
  <c r="B387" i="1"/>
  <c r="D386" i="1"/>
  <c r="J152" i="1"/>
  <c r="C153" i="1"/>
  <c r="J215" i="1"/>
  <c r="C216" i="1"/>
  <c r="C168" i="1"/>
  <c r="J167" i="1"/>
  <c r="J180" i="1"/>
  <c r="C181" i="1"/>
  <c r="J79" i="1"/>
  <c r="M845" i="1"/>
  <c r="B853" i="1"/>
  <c r="C855" i="1"/>
  <c r="F849" i="1"/>
  <c r="D849" i="1"/>
  <c r="A851" i="1"/>
  <c r="M358" i="1"/>
  <c r="M354" i="1"/>
  <c r="M368" i="1"/>
  <c r="M377" i="1"/>
  <c r="M355" i="1"/>
  <c r="A379" i="1"/>
  <c r="M366" i="1"/>
  <c r="M357" i="1"/>
  <c r="K932" i="1"/>
  <c r="M614" i="1"/>
  <c r="B384" i="1"/>
  <c r="B382" i="1"/>
  <c r="M621" i="1"/>
  <c r="M623" i="1"/>
  <c r="M612" i="1"/>
  <c r="M616" i="1"/>
  <c r="M617" i="1"/>
  <c r="M619" i="1"/>
  <c r="M620" i="1"/>
  <c r="A641" i="1"/>
  <c r="B395" i="1"/>
  <c r="C395" i="1"/>
  <c r="D402" i="1" l="1"/>
  <c r="B403" i="1"/>
  <c r="F402" i="1"/>
  <c r="B402" i="1"/>
  <c r="F403" i="1"/>
  <c r="D403" i="1"/>
  <c r="A657" i="1"/>
  <c r="A665" i="1" s="1"/>
  <c r="D671" i="1" s="1"/>
  <c r="M671" i="1" s="1"/>
  <c r="D646" i="1"/>
  <c r="D644" i="1"/>
  <c r="F644" i="1"/>
  <c r="F406" i="1"/>
  <c r="B406" i="1"/>
  <c r="B405" i="1"/>
  <c r="D409" i="1"/>
  <c r="D407" i="1"/>
  <c r="G406" i="1"/>
  <c r="E403" i="1"/>
  <c r="E402" i="1"/>
  <c r="D406" i="1"/>
  <c r="D405" i="1"/>
  <c r="G403" i="1"/>
  <c r="G402" i="1"/>
  <c r="B409" i="1"/>
  <c r="B407" i="1"/>
  <c r="E406" i="1"/>
  <c r="A403" i="1"/>
  <c r="A402" i="1"/>
  <c r="C154" i="1"/>
  <c r="J153" i="1"/>
  <c r="C217" i="1"/>
  <c r="J216" i="1"/>
  <c r="C169" i="1"/>
  <c r="J168" i="1"/>
  <c r="J181" i="1"/>
  <c r="C182" i="1"/>
  <c r="J182" i="1" s="1"/>
  <c r="J172" i="1"/>
  <c r="J80" i="1"/>
  <c r="M370" i="1"/>
  <c r="M849" i="1"/>
  <c r="M373" i="1"/>
  <c r="M375" i="1"/>
  <c r="A855" i="1"/>
  <c r="D853" i="1"/>
  <c r="F853" i="1"/>
  <c r="B857" i="1"/>
  <c r="C859" i="1"/>
  <c r="M382" i="1"/>
  <c r="A395" i="1"/>
  <c r="M384" i="1"/>
  <c r="M371" i="1"/>
  <c r="M391" i="1"/>
  <c r="M374" i="1"/>
  <c r="M630" i="1"/>
  <c r="B400" i="1"/>
  <c r="B398" i="1"/>
  <c r="M637" i="1"/>
  <c r="M639" i="1"/>
  <c r="M628" i="1"/>
  <c r="M632" i="1"/>
  <c r="M633" i="1"/>
  <c r="M635" i="1"/>
  <c r="M636" i="1"/>
  <c r="C411" i="1"/>
  <c r="B411" i="1"/>
  <c r="A673" i="1" l="1"/>
  <c r="A681" i="1" s="1"/>
  <c r="D668" i="1"/>
  <c r="M668" i="1" s="1"/>
  <c r="F419" i="1"/>
  <c r="D419" i="1"/>
  <c r="B419" i="1"/>
  <c r="F418" i="1"/>
  <c r="B418" i="1"/>
  <c r="D418" i="1"/>
  <c r="D425" i="1"/>
  <c r="D423" i="1"/>
  <c r="G422" i="1"/>
  <c r="E419" i="1"/>
  <c r="E418" i="1"/>
  <c r="D422" i="1"/>
  <c r="D421" i="1"/>
  <c r="G419" i="1"/>
  <c r="G418" i="1"/>
  <c r="B425" i="1"/>
  <c r="B423" i="1"/>
  <c r="E422" i="1"/>
  <c r="A419" i="1"/>
  <c r="A418" i="1"/>
  <c r="F422" i="1"/>
  <c r="B422" i="1"/>
  <c r="B421" i="1"/>
  <c r="C155" i="1"/>
  <c r="J154" i="1"/>
  <c r="J217" i="1"/>
  <c r="C218" i="1"/>
  <c r="C170" i="1"/>
  <c r="J170" i="1" s="1"/>
  <c r="J169" i="1"/>
  <c r="J186" i="1"/>
  <c r="J184" i="1"/>
  <c r="J81" i="1"/>
  <c r="M400" i="1"/>
  <c r="M393" i="1"/>
  <c r="M853" i="1"/>
  <c r="M387" i="1"/>
  <c r="M390" i="1"/>
  <c r="M389" i="1"/>
  <c r="B861" i="1"/>
  <c r="C863" i="1"/>
  <c r="F857" i="1"/>
  <c r="D857" i="1"/>
  <c r="A859" i="1"/>
  <c r="M386" i="1"/>
  <c r="A411" i="1"/>
  <c r="M407" i="1"/>
  <c r="M409" i="1"/>
  <c r="M398" i="1"/>
  <c r="M646" i="1"/>
  <c r="B416" i="1"/>
  <c r="B414" i="1"/>
  <c r="M651" i="1"/>
  <c r="M652" i="1"/>
  <c r="M644" i="1"/>
  <c r="M648" i="1"/>
  <c r="M653" i="1"/>
  <c r="M655" i="1"/>
  <c r="M649" i="1"/>
  <c r="B427" i="1"/>
  <c r="C427" i="1"/>
  <c r="D679" i="1" l="1"/>
  <c r="M679" i="1" s="1"/>
  <c r="D676" i="1"/>
  <c r="M676" i="1" s="1"/>
  <c r="D438" i="1"/>
  <c r="D437" i="1"/>
  <c r="G435" i="1"/>
  <c r="G434" i="1"/>
  <c r="B441" i="1"/>
  <c r="B439" i="1"/>
  <c r="E438" i="1"/>
  <c r="A435" i="1"/>
  <c r="A434" i="1"/>
  <c r="F438" i="1"/>
  <c r="B438" i="1"/>
  <c r="B437" i="1"/>
  <c r="D441" i="1"/>
  <c r="D439" i="1"/>
  <c r="G438" i="1"/>
  <c r="E435" i="1"/>
  <c r="E434" i="1"/>
  <c r="J218" i="1"/>
  <c r="C219" i="1"/>
  <c r="F435" i="1"/>
  <c r="D435" i="1"/>
  <c r="B435" i="1"/>
  <c r="D434" i="1"/>
  <c r="B434" i="1"/>
  <c r="F434" i="1"/>
  <c r="C156" i="1"/>
  <c r="J155" i="1"/>
  <c r="J198" i="1"/>
  <c r="J189" i="1"/>
  <c r="J82" i="1"/>
  <c r="A427" i="1"/>
  <c r="A443" i="1" s="1"/>
  <c r="A459" i="1" s="1"/>
  <c r="A475" i="1" s="1"/>
  <c r="M857" i="1"/>
  <c r="F861" i="1"/>
  <c r="A863" i="1"/>
  <c r="D861" i="1"/>
  <c r="M423" i="1"/>
  <c r="M405" i="1"/>
  <c r="M402" i="1"/>
  <c r="B865" i="1"/>
  <c r="C867" i="1"/>
  <c r="M414" i="1"/>
  <c r="M406" i="1"/>
  <c r="M403" i="1"/>
  <c r="A689" i="1"/>
  <c r="D684" i="1"/>
  <c r="M684" i="1" s="1"/>
  <c r="D687" i="1"/>
  <c r="M687" i="1" s="1"/>
  <c r="M416" i="1"/>
  <c r="B443" i="1"/>
  <c r="B432" i="1"/>
  <c r="B430" i="1"/>
  <c r="C443" i="1"/>
  <c r="J156" i="1" l="1"/>
  <c r="C157" i="1"/>
  <c r="C220" i="1"/>
  <c r="J219" i="1"/>
  <c r="C459" i="1"/>
  <c r="F451" i="1"/>
  <c r="F450" i="1"/>
  <c r="D451" i="1"/>
  <c r="B451" i="1"/>
  <c r="D450" i="1"/>
  <c r="B450" i="1"/>
  <c r="B457" i="1"/>
  <c r="B455" i="1"/>
  <c r="E454" i="1"/>
  <c r="A451" i="1"/>
  <c r="A450" i="1"/>
  <c r="F454" i="1"/>
  <c r="B454" i="1"/>
  <c r="B453" i="1"/>
  <c r="D457" i="1"/>
  <c r="D455" i="1"/>
  <c r="G454" i="1"/>
  <c r="E451" i="1"/>
  <c r="E450" i="1"/>
  <c r="D454" i="1"/>
  <c r="D453" i="1"/>
  <c r="G451" i="1"/>
  <c r="G450" i="1"/>
  <c r="J187" i="1"/>
  <c r="A491" i="1"/>
  <c r="A507" i="1" s="1"/>
  <c r="M430" i="1"/>
  <c r="M435" i="1"/>
  <c r="J83" i="1"/>
  <c r="M425" i="1"/>
  <c r="M419" i="1"/>
  <c r="M421" i="1"/>
  <c r="M422" i="1"/>
  <c r="M418" i="1"/>
  <c r="M861" i="1"/>
  <c r="A867" i="1"/>
  <c r="F865" i="1"/>
  <c r="D865" i="1"/>
  <c r="B869" i="1"/>
  <c r="C871" i="1"/>
  <c r="A697" i="1"/>
  <c r="D695" i="1"/>
  <c r="M695" i="1" s="1"/>
  <c r="A705" i="1"/>
  <c r="D692" i="1"/>
  <c r="M692" i="1" s="1"/>
  <c r="B459" i="1"/>
  <c r="M432" i="1"/>
  <c r="M441" i="1"/>
  <c r="B448" i="1"/>
  <c r="M448" i="1" s="1"/>
  <c r="B446" i="1"/>
  <c r="M434" i="1"/>
  <c r="C475" i="1" l="1"/>
  <c r="B466" i="1"/>
  <c r="D466" i="1"/>
  <c r="B467" i="1"/>
  <c r="F467" i="1"/>
  <c r="D467" i="1"/>
  <c r="F466" i="1"/>
  <c r="C158" i="1"/>
  <c r="J158" i="1" s="1"/>
  <c r="J157" i="1"/>
  <c r="C221" i="1"/>
  <c r="J220" i="1"/>
  <c r="B475" i="1"/>
  <c r="B480" i="1" s="1"/>
  <c r="M480" i="1" s="1"/>
  <c r="F470" i="1"/>
  <c r="B470" i="1"/>
  <c r="B469" i="1"/>
  <c r="D473" i="1"/>
  <c r="D471" i="1"/>
  <c r="G470" i="1"/>
  <c r="E467" i="1"/>
  <c r="E466" i="1"/>
  <c r="D470" i="1"/>
  <c r="D469" i="1"/>
  <c r="G467" i="1"/>
  <c r="G466" i="1"/>
  <c r="B473" i="1"/>
  <c r="B471" i="1"/>
  <c r="E470" i="1"/>
  <c r="A467" i="1"/>
  <c r="A466" i="1"/>
  <c r="J196" i="1"/>
  <c r="J201" i="1"/>
  <c r="J188" i="1"/>
  <c r="M438" i="1"/>
  <c r="M437" i="1"/>
  <c r="M439" i="1"/>
  <c r="M455" i="1"/>
  <c r="M446" i="1"/>
  <c r="J84" i="1"/>
  <c r="M865" i="1"/>
  <c r="A871" i="1"/>
  <c r="D869" i="1"/>
  <c r="F869" i="1"/>
  <c r="B873" i="1"/>
  <c r="C875" i="1"/>
  <c r="D711" i="1"/>
  <c r="M711" i="1" s="1"/>
  <c r="D708" i="1"/>
  <c r="M708" i="1" s="1"/>
  <c r="D703" i="1"/>
  <c r="M703" i="1" s="1"/>
  <c r="D700" i="1"/>
  <c r="M700" i="1" s="1"/>
  <c r="A713" i="1"/>
  <c r="B491" i="1"/>
  <c r="B478" i="1"/>
  <c r="M478" i="1" s="1"/>
  <c r="B464" i="1"/>
  <c r="M464" i="1" s="1"/>
  <c r="B462" i="1"/>
  <c r="M462" i="1" s="1"/>
  <c r="D663" i="1"/>
  <c r="M663" i="1" s="1"/>
  <c r="D660" i="1"/>
  <c r="M660" i="1" s="1"/>
  <c r="M453" i="1"/>
  <c r="M457" i="1"/>
  <c r="M454" i="1"/>
  <c r="M451" i="1"/>
  <c r="M450" i="1"/>
  <c r="J221" i="1" l="1"/>
  <c r="C222" i="1"/>
  <c r="B483" i="1"/>
  <c r="F483" i="1"/>
  <c r="D483" i="1"/>
  <c r="D482" i="1"/>
  <c r="B482" i="1"/>
  <c r="F482" i="1"/>
  <c r="C491" i="1"/>
  <c r="B507" i="1"/>
  <c r="B512" i="1" s="1"/>
  <c r="M512" i="1" s="1"/>
  <c r="D502" i="1"/>
  <c r="D501" i="1"/>
  <c r="G499" i="1"/>
  <c r="G498" i="1"/>
  <c r="B505" i="1"/>
  <c r="B503" i="1"/>
  <c r="E502" i="1"/>
  <c r="A499" i="1"/>
  <c r="A498" i="1"/>
  <c r="F502" i="1"/>
  <c r="B502" i="1"/>
  <c r="B501" i="1"/>
  <c r="D505" i="1"/>
  <c r="D503" i="1"/>
  <c r="G502" i="1"/>
  <c r="E499" i="1"/>
  <c r="E498" i="1"/>
  <c r="D489" i="1"/>
  <c r="D487" i="1"/>
  <c r="G486" i="1"/>
  <c r="E483" i="1"/>
  <c r="E482" i="1"/>
  <c r="D486" i="1"/>
  <c r="D485" i="1"/>
  <c r="G483" i="1"/>
  <c r="G482" i="1"/>
  <c r="B489" i="1"/>
  <c r="B487" i="1"/>
  <c r="E486" i="1"/>
  <c r="A483" i="1"/>
  <c r="A482" i="1"/>
  <c r="F486" i="1"/>
  <c r="B486" i="1"/>
  <c r="B485" i="1"/>
  <c r="J88" i="1"/>
  <c r="J197" i="1"/>
  <c r="J202" i="1"/>
  <c r="J86" i="1"/>
  <c r="J85" i="1"/>
  <c r="M869" i="1"/>
  <c r="B877" i="1"/>
  <c r="C879" i="1"/>
  <c r="F873" i="1"/>
  <c r="D873" i="1"/>
  <c r="A875" i="1"/>
  <c r="D716" i="1"/>
  <c r="M716" i="1" s="1"/>
  <c r="D719" i="1"/>
  <c r="M719" i="1" s="1"/>
  <c r="M467" i="1"/>
  <c r="B496" i="1"/>
  <c r="M496" i="1" s="1"/>
  <c r="B494" i="1"/>
  <c r="M494" i="1" s="1"/>
  <c r="M466" i="1"/>
  <c r="M471" i="1"/>
  <c r="M470" i="1"/>
  <c r="M473" i="1"/>
  <c r="M469" i="1"/>
  <c r="M485" i="1" l="1"/>
  <c r="B510" i="1"/>
  <c r="M510" i="1" s="1"/>
  <c r="M489" i="1"/>
  <c r="M486" i="1"/>
  <c r="M487" i="1"/>
  <c r="C223" i="1"/>
  <c r="J222" i="1"/>
  <c r="M482" i="1"/>
  <c r="M483" i="1"/>
  <c r="C507" i="1"/>
  <c r="B498" i="1"/>
  <c r="F499" i="1"/>
  <c r="D498" i="1"/>
  <c r="B499" i="1"/>
  <c r="F498" i="1"/>
  <c r="D499" i="1"/>
  <c r="B521" i="1"/>
  <c r="B519" i="1"/>
  <c r="E518" i="1"/>
  <c r="A515" i="1"/>
  <c r="A514" i="1"/>
  <c r="F518" i="1"/>
  <c r="B518" i="1"/>
  <c r="B517" i="1"/>
  <c r="D521" i="1"/>
  <c r="D519" i="1"/>
  <c r="G518" i="1"/>
  <c r="E515" i="1"/>
  <c r="E514" i="1"/>
  <c r="D518" i="1"/>
  <c r="D517" i="1"/>
  <c r="G515" i="1"/>
  <c r="G514" i="1"/>
  <c r="M873" i="1"/>
  <c r="C883" i="1"/>
  <c r="B881" i="1"/>
  <c r="F877" i="1"/>
  <c r="D877" i="1"/>
  <c r="A879" i="1"/>
  <c r="M503" i="1"/>
  <c r="M505" i="1"/>
  <c r="M502" i="1"/>
  <c r="M501" i="1"/>
  <c r="M519" i="1" l="1"/>
  <c r="M518" i="1"/>
  <c r="M517" i="1"/>
  <c r="M499" i="1"/>
  <c r="M521" i="1"/>
  <c r="J223" i="1"/>
  <c r="C224" i="1"/>
  <c r="M498" i="1"/>
  <c r="F514" i="1"/>
  <c r="B514" i="1"/>
  <c r="D514" i="1"/>
  <c r="D515" i="1"/>
  <c r="B515" i="1"/>
  <c r="F515" i="1"/>
  <c r="J89" i="1"/>
  <c r="M877" i="1"/>
  <c r="D881" i="1"/>
  <c r="A883" i="1"/>
  <c r="F881" i="1"/>
  <c r="B885" i="1"/>
  <c r="C887" i="1"/>
  <c r="J224" i="1" l="1"/>
  <c r="C225" i="1"/>
  <c r="M515" i="1"/>
  <c r="M514" i="1"/>
  <c r="J90" i="1"/>
  <c r="M881" i="1"/>
  <c r="C891" i="1"/>
  <c r="B889" i="1"/>
  <c r="A887" i="1"/>
  <c r="D885" i="1"/>
  <c r="F885" i="1"/>
  <c r="J225" i="1" l="1"/>
  <c r="C226" i="1"/>
  <c r="J91" i="1"/>
  <c r="M885" i="1"/>
  <c r="C895" i="1"/>
  <c r="B893" i="1"/>
  <c r="F889" i="1"/>
  <c r="D889" i="1"/>
  <c r="A891" i="1"/>
  <c r="C227" i="1" l="1"/>
  <c r="J226" i="1"/>
  <c r="J92" i="1"/>
  <c r="M889" i="1"/>
  <c r="F893" i="1"/>
  <c r="A895" i="1"/>
  <c r="D893" i="1"/>
  <c r="C899" i="1"/>
  <c r="B897" i="1"/>
  <c r="C228" i="1" l="1"/>
  <c r="J227" i="1"/>
  <c r="J93" i="1"/>
  <c r="M893" i="1"/>
  <c r="A899" i="1"/>
  <c r="F897" i="1"/>
  <c r="D897" i="1"/>
  <c r="B901" i="1"/>
  <c r="C903" i="1"/>
  <c r="C229" i="1" l="1"/>
  <c r="J228" i="1"/>
  <c r="J94" i="1"/>
  <c r="M897" i="1"/>
  <c r="C907" i="1"/>
  <c r="B905" i="1"/>
  <c r="A903" i="1"/>
  <c r="F901" i="1"/>
  <c r="D901" i="1"/>
  <c r="A736" i="1"/>
  <c r="D729" i="1"/>
  <c r="M729" i="1" s="1"/>
  <c r="C230" i="1" l="1"/>
  <c r="J229" i="1"/>
  <c r="J95" i="1"/>
  <c r="M901" i="1"/>
  <c r="F905" i="1"/>
  <c r="D905" i="1"/>
  <c r="A907" i="1"/>
  <c r="B909" i="1"/>
  <c r="C911" i="1"/>
  <c r="A743" i="1"/>
  <c r="D738" i="1"/>
  <c r="M738" i="1" s="1"/>
  <c r="C231" i="1" l="1"/>
  <c r="J230" i="1"/>
  <c r="J96" i="1"/>
  <c r="M905" i="1"/>
  <c r="F909" i="1"/>
  <c r="D909" i="1"/>
  <c r="A911" i="1"/>
  <c r="A915" i="1" s="1"/>
  <c r="A750" i="1"/>
  <c r="D745" i="1"/>
  <c r="M745" i="1" s="1"/>
  <c r="C232" i="1" l="1"/>
  <c r="J231" i="1"/>
  <c r="J97" i="1"/>
  <c r="D918" i="1"/>
  <c r="M918" i="1" s="1"/>
  <c r="A919" i="1"/>
  <c r="M909" i="1"/>
  <c r="A757" i="1"/>
  <c r="D752" i="1"/>
  <c r="M752" i="1" s="1"/>
  <c r="C233" i="1" l="1"/>
  <c r="J233" i="1" s="1"/>
  <c r="J232" i="1"/>
  <c r="J98" i="1"/>
  <c r="D922" i="1"/>
  <c r="M922" i="1" s="1"/>
  <c r="A923" i="1"/>
  <c r="D759" i="1"/>
  <c r="M759" i="1" s="1"/>
  <c r="A764" i="1"/>
  <c r="J99" i="1" l="1"/>
  <c r="D926" i="1"/>
  <c r="M926" i="1" s="1"/>
  <c r="A927" i="1"/>
  <c r="D930" i="1" s="1"/>
  <c r="M930" i="1" s="1"/>
  <c r="D766" i="1"/>
  <c r="M766" i="1" s="1"/>
  <c r="A771" i="1"/>
  <c r="J100" i="1" l="1"/>
  <c r="D773" i="1"/>
  <c r="M773" i="1" s="1"/>
  <c r="A778" i="1"/>
  <c r="J101" i="1" l="1"/>
  <c r="A785" i="1"/>
  <c r="D780" i="1"/>
  <c r="M780" i="1" s="1"/>
  <c r="J102" i="1" l="1"/>
  <c r="D787" i="1"/>
  <c r="M787" i="1" s="1"/>
  <c r="A792" i="1"/>
  <c r="J103" i="1" l="1"/>
  <c r="D794" i="1"/>
  <c r="M794" i="1" s="1"/>
  <c r="A799" i="1"/>
  <c r="J104" i="1" l="1"/>
  <c r="D801" i="1"/>
  <c r="M801" i="1" s="1"/>
  <c r="A806" i="1"/>
  <c r="D808" i="1" s="1"/>
  <c r="M808" i="1" s="1"/>
  <c r="J105" i="1" l="1"/>
  <c r="J106" i="1" l="1"/>
  <c r="J107" i="1" l="1"/>
  <c r="J108" i="1" l="1"/>
  <c r="J112" i="1"/>
  <c r="J109" i="1" l="1"/>
  <c r="J110" i="1" l="1"/>
  <c r="J113" i="1"/>
  <c r="J114" i="1"/>
  <c r="J115" i="1" l="1"/>
  <c r="J116" i="1" l="1"/>
  <c r="J117" i="1" l="1"/>
  <c r="J118" i="1" l="1"/>
  <c r="J119" i="1" l="1"/>
  <c r="J120" i="1" l="1"/>
  <c r="J123" i="1" l="1"/>
  <c r="J121" i="1"/>
  <c r="J122" i="1" l="1"/>
  <c r="J124" i="1"/>
  <c r="J126" i="1" l="1"/>
  <c r="J127" i="1"/>
  <c r="J129" i="1"/>
  <c r="J125" i="1"/>
  <c r="J130" i="1" l="1"/>
  <c r="J132" i="1"/>
  <c r="J128" i="1"/>
  <c r="J133" i="1" l="1"/>
  <c r="J131" i="1"/>
  <c r="J134" i="1" l="1"/>
</calcChain>
</file>

<file path=xl/comments1.xml><?xml version="1.0" encoding="utf-8"?>
<comments xmlns="http://schemas.openxmlformats.org/spreadsheetml/2006/main">
  <authors>
    <author>cflhxb</author>
  </authors>
  <commentList>
    <comment ref="E2" authorId="0" shapeId="0">
      <text>
        <r>
          <rPr>
            <b/>
            <sz val="10"/>
            <color indexed="81"/>
            <rFont val="Tahoma"/>
            <family val="2"/>
          </rPr>
          <t>cflhxb:</t>
        </r>
        <r>
          <rPr>
            <sz val="10"/>
            <color indexed="81"/>
            <rFont val="Tahoma"/>
            <family val="2"/>
          </rPr>
          <t xml:space="preserve">
Enter the serial number of the sensor connected to each channel</t>
        </r>
      </text>
    </comment>
    <comment ref="F2" authorId="0" shapeId="0">
      <text>
        <r>
          <rPr>
            <b/>
            <sz val="10"/>
            <color indexed="81"/>
            <rFont val="Tahoma"/>
            <family val="2"/>
          </rPr>
          <t>cflhxb:</t>
        </r>
        <r>
          <rPr>
            <sz val="10"/>
            <color indexed="81"/>
            <rFont val="Tahoma"/>
            <family val="2"/>
          </rPr>
          <t xml:space="preserve">
Enter the Name of the plot to be displayed in the column head of the data field</t>
        </r>
      </text>
    </comment>
    <comment ref="AJ2" authorId="0" shapeId="0">
      <text>
        <r>
          <rPr>
            <b/>
            <sz val="10"/>
            <color indexed="81"/>
            <rFont val="Tahoma"/>
            <family val="2"/>
          </rPr>
          <t>cflhxb:</t>
        </r>
        <r>
          <rPr>
            <sz val="10"/>
            <color indexed="81"/>
            <rFont val="Tahoma"/>
            <family val="2"/>
          </rPr>
          <t xml:space="preserve">
Enter the serial number of the sensor connected to each channel</t>
        </r>
      </text>
    </comment>
    <comment ref="AK2" authorId="0" shapeId="0">
      <text>
        <r>
          <rPr>
            <b/>
            <sz val="10"/>
            <color indexed="81"/>
            <rFont val="Tahoma"/>
            <family val="2"/>
          </rPr>
          <t>cflhxb:</t>
        </r>
        <r>
          <rPr>
            <sz val="10"/>
            <color indexed="81"/>
            <rFont val="Tahoma"/>
            <family val="2"/>
          </rPr>
          <t xml:space="preserve">
Enter the Name of the plot to be displayed in the column head of the data field</t>
        </r>
      </text>
    </comment>
    <comment ref="E29" authorId="0" shapeId="0">
      <text>
        <r>
          <rPr>
            <b/>
            <sz val="10"/>
            <color indexed="81"/>
            <rFont val="Tahoma"/>
            <family val="2"/>
          </rPr>
          <t>cflhxb:</t>
        </r>
        <r>
          <rPr>
            <sz val="10"/>
            <color indexed="81"/>
            <rFont val="Tahoma"/>
            <family val="2"/>
          </rPr>
          <t xml:space="preserve">
Enter the serial number of the sensor connected to each channel</t>
        </r>
      </text>
    </comment>
    <comment ref="F29" authorId="0" shapeId="0">
      <text>
        <r>
          <rPr>
            <b/>
            <sz val="10"/>
            <color indexed="81"/>
            <rFont val="Tahoma"/>
            <family val="2"/>
          </rPr>
          <t>cflhxb:</t>
        </r>
        <r>
          <rPr>
            <sz val="10"/>
            <color indexed="81"/>
            <rFont val="Tahoma"/>
            <family val="2"/>
          </rPr>
          <t xml:space="preserve">
Enter the Name of the plot to be displayed in the column head of the data field</t>
        </r>
      </text>
    </comment>
    <comment ref="AJ29" authorId="0" shapeId="0">
      <text>
        <r>
          <rPr>
            <b/>
            <sz val="10"/>
            <color indexed="81"/>
            <rFont val="Tahoma"/>
            <family val="2"/>
          </rPr>
          <t>cflhxb:</t>
        </r>
        <r>
          <rPr>
            <sz val="10"/>
            <color indexed="81"/>
            <rFont val="Tahoma"/>
            <family val="2"/>
          </rPr>
          <t xml:space="preserve">
Enter the serial number of the sensor connected to each channel</t>
        </r>
      </text>
    </comment>
    <comment ref="AK29" authorId="0" shapeId="0">
      <text>
        <r>
          <rPr>
            <b/>
            <sz val="10"/>
            <color indexed="81"/>
            <rFont val="Tahoma"/>
            <family val="2"/>
          </rPr>
          <t>cflhxb:</t>
        </r>
        <r>
          <rPr>
            <sz val="10"/>
            <color indexed="81"/>
            <rFont val="Tahoma"/>
            <family val="2"/>
          </rPr>
          <t xml:space="preserve">
Enter the Name of the plot to be displayed in the column head of the data field</t>
        </r>
      </text>
    </comment>
  </commentList>
</comments>
</file>

<file path=xl/comments2.xml><?xml version="1.0" encoding="utf-8"?>
<comments xmlns="http://schemas.openxmlformats.org/spreadsheetml/2006/main">
  <authors>
    <author>cflhxb</author>
  </authors>
  <commentList>
    <comment ref="A4" authorId="0" shapeId="0">
      <text>
        <r>
          <rPr>
            <b/>
            <sz val="10"/>
            <color indexed="81"/>
            <rFont val="Tahoma"/>
            <family val="2"/>
          </rPr>
          <t>cflhxb:</t>
        </r>
        <r>
          <rPr>
            <sz val="10"/>
            <color indexed="81"/>
            <rFont val="Tahoma"/>
            <family val="2"/>
          </rPr>
          <t xml:space="preserve">
Can be mSec, Sec or Min</t>
        </r>
      </text>
    </comment>
    <comment ref="A6" authorId="0" shapeId="0">
      <text>
        <r>
          <rPr>
            <b/>
            <sz val="10"/>
            <color indexed="81"/>
            <rFont val="Tahoma"/>
            <family val="2"/>
          </rPr>
          <t>cflhxb:</t>
        </r>
        <r>
          <rPr>
            <sz val="10"/>
            <color indexed="81"/>
            <rFont val="Tahoma"/>
            <family val="2"/>
          </rPr>
          <t xml:space="preserve">
This must be a multiple of the Scan frequency
</t>
        </r>
      </text>
    </comment>
    <comment ref="A8" authorId="0" shapeId="0">
      <text>
        <r>
          <rPr>
            <b/>
            <sz val="10"/>
            <color indexed="81"/>
            <rFont val="Tahoma"/>
            <family val="2"/>
          </rPr>
          <t>cflhxb:</t>
        </r>
        <r>
          <rPr>
            <sz val="10"/>
            <color indexed="81"/>
            <rFont val="Tahoma"/>
            <family val="2"/>
          </rPr>
          <t xml:space="preserve">
Can be mSec, Sec or Min</t>
        </r>
      </text>
    </comment>
  </commentList>
</comments>
</file>

<file path=xl/sharedStrings.xml><?xml version="1.0" encoding="utf-8"?>
<sst xmlns="http://schemas.openxmlformats.org/spreadsheetml/2006/main" count="1913" uniqueCount="296">
  <si>
    <t>'CR1000</t>
  </si>
  <si>
    <t>'Declare Variables and Units</t>
  </si>
  <si>
    <t>Public BattV</t>
  </si>
  <si>
    <t>Public PTemp_C</t>
  </si>
  <si>
    <t>Units BattV=Volts</t>
  </si>
  <si>
    <t>Units PTemp_C=Deg C</t>
  </si>
  <si>
    <t>'Define Data Tables</t>
  </si>
  <si>
    <t>Average(1,BattV,FP2,False)</t>
  </si>
  <si>
    <t>EndTable</t>
  </si>
  <si>
    <t>'Main Program</t>
  </si>
  <si>
    <t>BeginProg</t>
  </si>
  <si>
    <t>'Default Datalogger Battery Voltage measurement 'BattV'</t>
  </si>
  <si>
    <t>Battery(BattV)</t>
  </si>
  <si>
    <t>'Default Wiring Panel Temperature measurement 'PTemp_C'</t>
  </si>
  <si>
    <t>PanelTemp(PTemp_C,_60Hz)</t>
  </si>
  <si>
    <t>'Calculate slope (m) and offset (b) coefficients for target temperature calculation</t>
  </si>
  <si>
    <t>'Calculate target temperature using calculated slope (m) and offset (b)</t>
  </si>
  <si>
    <t>'Convert target temperature into desired units</t>
  </si>
  <si>
    <t>NextScan</t>
  </si>
  <si>
    <t>EndProg</t>
  </si>
  <si>
    <t>),FP2,False)</t>
  </si>
  <si>
    <t>Average(1,PTemp_C,FP2,False)</t>
  </si>
  <si>
    <t>'SI-111 Precision Infrared Radiometer measurements 'TT_C' and 'SBT_C'</t>
  </si>
  <si>
    <t>MC2</t>
  </si>
  <si>
    <t>MC1</t>
  </si>
  <si>
    <t>MC0</t>
  </si>
  <si>
    <t>BC2</t>
  </si>
  <si>
    <t>BC1</t>
  </si>
  <si>
    <t>BC0</t>
  </si>
  <si>
    <t>PortSet(</t>
  </si>
  <si>
    <t>,1)</t>
  </si>
  <si>
    <t>SensorRef</t>
  </si>
  <si>
    <t>Serial number</t>
  </si>
  <si>
    <t>Cable length</t>
  </si>
  <si>
    <t>MUX Chanel (4X14 port)</t>
  </si>
  <si>
    <t>SensorRef (from SensorCoeff table)</t>
  </si>
  <si>
    <t>Enter Plot Numbers into appropriate row in Sensor Coefficients tab</t>
  </si>
  <si>
    <t>This spread sheet allows you to create a program to log 24 IR temperature sensor of 2 (12 in each) AM16/32 multiplexors connected to a CS1000 data logger</t>
  </si>
  <si>
    <t>Copy the cells hilighted Pink in the CRBasicTemplate tab</t>
  </si>
  <si>
    <t>Past these into Note pad and save as "FileName .CR1"</t>
  </si>
  <si>
    <t>Send this program to the datalogger using LoggerNet or equivelent communication software.</t>
  </si>
  <si>
    <t>ScanFrequenceUnits</t>
  </si>
  <si>
    <t>ScanFrequenceValue</t>
  </si>
  <si>
    <t>min</t>
  </si>
  <si>
    <t>Scan(</t>
  </si>
  <si>
    <t>,1,0)</t>
  </si>
  <si>
    <t>,</t>
  </si>
  <si>
    <t>Enter Scan frequency into the LoggerSettings tab</t>
  </si>
  <si>
    <t>,0)</t>
  </si>
  <si>
    <t>)+273.15</t>
  </si>
  <si>
    <t>DataTableName</t>
  </si>
  <si>
    <t>AllData</t>
  </si>
  <si>
    <t>)-273.15</t>
  </si>
  <si>
    <t>Delay(0,150,mSec)  'Delay(Option, Delay, Units)</t>
  </si>
  <si>
    <t>DataAveragingFrequecy</t>
  </si>
  <si>
    <t>DataAveragingUnits</t>
  </si>
  <si>
    <t>Wiring Instructions</t>
  </si>
  <si>
    <t>Programming Instructions</t>
  </si>
  <si>
    <t>Datalogger</t>
  </si>
  <si>
    <t>12V</t>
  </si>
  <si>
    <t>G</t>
  </si>
  <si>
    <t>↓</t>
  </si>
  <si>
    <t>clk</t>
  </si>
  <si>
    <t>res</t>
  </si>
  <si>
    <t>Com Odd H</t>
  </si>
  <si>
    <t>Com Odd L</t>
  </si>
  <si>
    <t>Com Even H</t>
  </si>
  <si>
    <t>Com Even L</t>
  </si>
  <si>
    <r>
      <t xml:space="preserve">Com </t>
    </r>
    <r>
      <rPr>
        <sz val="11"/>
        <color theme="1"/>
        <rFont val="Calibri"/>
        <family val="2"/>
      </rPr>
      <t>↓</t>
    </r>
  </si>
  <si>
    <t>1H</t>
  </si>
  <si>
    <t>1L</t>
  </si>
  <si>
    <t>2H</t>
  </si>
  <si>
    <t>2L</t>
  </si>
  <si>
    <t>red</t>
  </si>
  <si>
    <t>black</t>
  </si>
  <si>
    <t>green</t>
  </si>
  <si>
    <t>white</t>
  </si>
  <si>
    <t>clear</t>
  </si>
  <si>
    <t>blue</t>
  </si>
  <si>
    <t>repeat above for each sensor for each 4X16 port set</t>
  </si>
  <si>
    <t>)))</t>
  </si>
  <si>
    <t>If (RH&gt;100) And (RH&lt;108) Then RH=100</t>
  </si>
  <si>
    <t>If SlrkW&lt;0 Then SlrkW=0</t>
  </si>
  <si>
    <t>SlrkW=SlrkW*0.2</t>
  </si>
  <si>
    <t>VoltSE(AirTC,1,mV2500,</t>
  </si>
  <si>
    <t>,0,0,_60Hz,0.1,-40)</t>
  </si>
  <si>
    <t>VoltSE(RH,1,mV2500,</t>
  </si>
  <si>
    <t>,0,0,_60Hz,0.1,0)</t>
  </si>
  <si>
    <t>Public AirTC</t>
  </si>
  <si>
    <t>Public RH</t>
  </si>
  <si>
    <t>Public SlrkW</t>
  </si>
  <si>
    <t>Public SlrMJ</t>
  </si>
  <si>
    <t>Units AirTC=Deg C</t>
  </si>
  <si>
    <t>Units RH=%</t>
  </si>
  <si>
    <t>Units SlrkW=kW/m^2</t>
  </si>
  <si>
    <t>Units SlrMJ=MJ/m^2</t>
  </si>
  <si>
    <t>Average(1,AirTC,FP2,False)</t>
  </si>
  <si>
    <t>Maximum(1,RH,FP2,False,False)</t>
  </si>
  <si>
    <t>Average(1,SlrkW,FP2,False)</t>
  </si>
  <si>
    <t>Totalize(1,SlrMJ,IEEE4,False)</t>
  </si>
  <si>
    <t>VoltDiff(SlrkW,1,mV7_5,</t>
  </si>
  <si>
    <t>,True,0,_60Hz,1,0)</t>
  </si>
  <si>
    <t>HumSignalSEChan</t>
  </si>
  <si>
    <t>TempSignalSEChan</t>
  </si>
  <si>
    <t>SlrMJ=SlrkW*</t>
  </si>
  <si>
    <t>Temp &amp; Hum sensor</t>
  </si>
  <si>
    <t>Black</t>
  </si>
  <si>
    <t>Green</t>
  </si>
  <si>
    <t>Red</t>
  </si>
  <si>
    <t>Clear</t>
  </si>
  <si>
    <t>Radiation sensor</t>
  </si>
  <si>
    <t>White</t>
  </si>
  <si>
    <t>Public Rain_mm</t>
  </si>
  <si>
    <t>Units Rain_mm=mm</t>
  </si>
  <si>
    <t>Totalize(1,Rain_mm,FP2,False)</t>
  </si>
  <si>
    <t>RainMmPerTip</t>
  </si>
  <si>
    <t>PulseCount(Rain_mm,1,</t>
  </si>
  <si>
    <t>,2,0,</t>
  </si>
  <si>
    <t>RainGauge</t>
  </si>
  <si>
    <t>Instrument</t>
  </si>
  <si>
    <t>Surface Temp Sensor</t>
  </si>
  <si>
    <t>WindSpeed</t>
  </si>
  <si>
    <t>Public WS_ms</t>
  </si>
  <si>
    <t>Units WS_ms=meters/second</t>
  </si>
  <si>
    <t>Average(1,WS_ms,FP2,False)</t>
  </si>
  <si>
    <t>PulseCount(WS_ms,1,</t>
  </si>
  <si>
    <t>ClockComChannel</t>
  </si>
  <si>
    <t>RainSignalPulseChan</t>
  </si>
  <si>
    <t>WindSignalPulseChan</t>
  </si>
  <si>
    <t>)</t>
  </si>
  <si>
    <t>),1,</t>
  </si>
  <si>
    <t>),1,mV2_5,</t>
  </si>
  <si>
    <t>,True,0,_60Hz,1,0,)</t>
  </si>
  <si>
    <t>,0,_60Hz,1,0)</t>
  </si>
  <si>
    <t>MUXResComChannel</t>
  </si>
  <si>
    <t>MUXDiffChannel</t>
  </si>
  <si>
    <t>MUXSEChannel</t>
  </si>
  <si>
    <t>MUXVXChannel</t>
  </si>
  <si>
    <t>Public LeafWet_kohms</t>
  </si>
  <si>
    <t>Units LeafWet_kohms=kilohms</t>
  </si>
  <si>
    <t>Average(1,LeafWet_kohms,FP2,False)</t>
  </si>
  <si>
    <t>LeafWetnessSEChan</t>
  </si>
  <si>
    <t>WindMSPerPulse</t>
  </si>
  <si>
    <t>WindOffset</t>
  </si>
  <si>
    <t>MultiPlexor</t>
  </si>
  <si>
    <t>BrHalf(LeafWet_kohms,1,mV25,</t>
  </si>
  <si>
    <t>,1,2500,True,0,250,1,0)</t>
  </si>
  <si>
    <t>LeafWetnessVXChan</t>
  </si>
  <si>
    <t>LeafWet_kohms=(1/LeafWet_kohms)-101</t>
  </si>
  <si>
    <t>LeafWetness</t>
  </si>
  <si>
    <t>purple</t>
  </si>
  <si>
    <t>Multiplexor</t>
  </si>
  <si>
    <t>5V</t>
  </si>
  <si>
    <t>,2,1,</t>
  </si>
  <si>
    <t>Blue</t>
  </si>
  <si>
    <t>Yellow</t>
  </si>
  <si>
    <t>Grey</t>
  </si>
  <si>
    <t>Plot ID</t>
  </si>
  <si>
    <t>Array Ref</t>
  </si>
  <si>
    <t>Sensor Serial number</t>
  </si>
  <si>
    <t>Thermocouple</t>
  </si>
  <si>
    <t>Purple</t>
  </si>
  <si>
    <t>Heat Flux Plate</t>
  </si>
  <si>
    <t>-</t>
  </si>
  <si>
    <t>Paraonometer</t>
  </si>
  <si>
    <t>Temperature sensor</t>
  </si>
  <si>
    <t>signal</t>
  </si>
  <si>
    <t>voltage excitation</t>
  </si>
  <si>
    <t>shield</t>
  </si>
  <si>
    <t>Analog Ground</t>
  </si>
  <si>
    <t>Signal Reference</t>
  </si>
  <si>
    <t>Signal</t>
  </si>
  <si>
    <t>Shield</t>
  </si>
  <si>
    <t>'Type E (chromel-constantan) Thermocouple measurements</t>
  </si>
  <si>
    <t>),1,MV2_5C,</t>
  </si>
  <si>
    <t>,TypeE,PTemp_C,True,0,_60Hz,1,0)</t>
  </si>
  <si>
    <t>Sensor Ref</t>
  </si>
  <si>
    <t>MultiPlex</t>
  </si>
  <si>
    <t>Serial Number</t>
  </si>
  <si>
    <t>IR sensors</t>
  </si>
  <si>
    <t>Heat flux plates</t>
  </si>
  <si>
    <t>),1,mV7_5,</t>
  </si>
  <si>
    <t>,0,_60hz,1,0)</t>
  </si>
  <si>
    <t>Units SoilSurfTC=Deg C</t>
  </si>
  <si>
    <t>Units SoilAvTC=DegC</t>
  </si>
  <si>
    <t>Units HeatFlux=W/m^2</t>
  </si>
  <si>
    <t>Units SlrReflectkW=kW/m^2</t>
  </si>
  <si>
    <t>Units SlrReflectMJ=MJ/m^2</t>
  </si>
  <si>
    <t>TCDiff(SoilAvTC(</t>
  </si>
  <si>
    <t>VoltSe (HeatFlux(</t>
  </si>
  <si>
    <t>VoltDiff(SlrReflectkW(</t>
  </si>
  <si>
    <t>)=SlrReflectkW(</t>
  </si>
  <si>
    <t>SlrReflectkW(</t>
  </si>
  <si>
    <t>SlrReflectMJ(</t>
  </si>
  <si>
    <t>if SlrReflectkW(</t>
  </si>
  <si>
    <t>) &lt; 0 Then SlrReflectkW(</t>
  </si>
  <si>
    <t>) = 0</t>
  </si>
  <si>
    <t xml:space="preserve">) * </t>
  </si>
  <si>
    <t>Therm108(SoilSurfTC(</t>
  </si>
  <si>
    <t>MuxNumber</t>
  </si>
  <si>
    <t>MUXNumber</t>
  </si>
  <si>
    <t>Average(1,SoilAvTC(</t>
  </si>
  <si>
    <t>Calib coeff</t>
  </si>
  <si>
    <t xml:space="preserve">Channel (Mux 4x16 channel that sensor is conected to) </t>
  </si>
  <si>
    <t>Average(1,HeatFlux(</t>
  </si>
  <si>
    <t>Average(1,SlrReflectkW(</t>
  </si>
  <si>
    <t>Average(1,SlrReflectMJ(</t>
  </si>
  <si>
    <t>Average(1, SoilSurfTC(</t>
  </si>
  <si>
    <t>Multiplier</t>
  </si>
  <si>
    <t>),1,MV7_5,</t>
  </si>
  <si>
    <t>,0,0,_60Hz,</t>
  </si>
  <si>
    <t>PyrradiometerDiffChan</t>
  </si>
  <si>
    <t>Pyrradiometer</t>
  </si>
  <si>
    <t>Public NetRadn</t>
  </si>
  <si>
    <t>Units NetRadn=W/m^2</t>
  </si>
  <si>
    <t>Average(1,NetRadn,FP2,False)</t>
  </si>
  <si>
    <t>VoltDiff(NetRadn,1,mv250,</t>
  </si>
  <si>
    <t>SW12V</t>
  </si>
  <si>
    <t>Pump positive</t>
  </si>
  <si>
    <t>Pump negaitve</t>
  </si>
  <si>
    <t>,True,0,_60Hz,</t>
  </si>
  <si>
    <t>Public TT_C(24)</t>
  </si>
  <si>
    <t>Public SBT_C(24)</t>
  </si>
  <si>
    <t>Public TTmV(24)</t>
  </si>
  <si>
    <t>Public SoilAvTC(12)</t>
  </si>
  <si>
    <t>Public HeatFlux(12)</t>
  </si>
  <si>
    <t>Public SlrReflectkW(12)</t>
  </si>
  <si>
    <t>Public SlrReflectMJ(12)</t>
  </si>
  <si>
    <t>Mux1</t>
  </si>
  <si>
    <t>4x16</t>
  </si>
  <si>
    <t>Mux2</t>
  </si>
  <si>
    <t>Mux3</t>
  </si>
  <si>
    <t>Mux4</t>
  </si>
  <si>
    <t>2x32</t>
  </si>
  <si>
    <t>Diff</t>
  </si>
  <si>
    <t>SE excitation</t>
  </si>
  <si>
    <t>IR signal</t>
  </si>
  <si>
    <t>IR casing</t>
  </si>
  <si>
    <t>SR reflected</t>
  </si>
  <si>
    <t>Heat flux</t>
  </si>
  <si>
    <t>Therm 108</t>
  </si>
  <si>
    <t>Thermocouples</t>
  </si>
  <si>
    <t>RS intercepted</t>
  </si>
  <si>
    <t>IR sensor</t>
  </si>
  <si>
    <t>IR sensors, thermocouples and heat flux</t>
  </si>
  <si>
    <t>Thermocouple &amp; Heat Flux</t>
  </si>
  <si>
    <t xml:space="preserve">Thermocouple </t>
  </si>
  <si>
    <t>Linear PAR</t>
  </si>
  <si>
    <t>VoltDiff(LinPAR(</t>
  </si>
  <si>
    <t>),1,mV2500,</t>
  </si>
  <si>
    <t>Reflected Radn</t>
  </si>
  <si>
    <t>Soil Temperature and Heat Flux</t>
  </si>
  <si>
    <t>None</t>
  </si>
  <si>
    <t>MUX Chanel (2X32 port)</t>
  </si>
  <si>
    <t>Soil surface temperature</t>
  </si>
  <si>
    <t>Heat Flux</t>
  </si>
  <si>
    <t>RadnDiffChan</t>
  </si>
  <si>
    <t>Multiplexor1 (4 x 16 mode)</t>
  </si>
  <si>
    <t>Multiplexor2 (4 x 16 mode)</t>
  </si>
  <si>
    <t>Linear Radiation Sensors</t>
  </si>
  <si>
    <t>+</t>
  </si>
  <si>
    <t>?</t>
  </si>
  <si>
    <t>repeat above for ports 1 - 8  (4X16 ports)</t>
  </si>
  <si>
    <t>Multiplexor4 (2 x 32 mode)</t>
  </si>
  <si>
    <t>25H</t>
  </si>
  <si>
    <t>25L</t>
  </si>
  <si>
    <t>repeat above for ports 25 - 28 (2X32 ports)</t>
  </si>
  <si>
    <t>Dim TT_K(24)</t>
  </si>
  <si>
    <t>Dim SBT_K(24)</t>
  </si>
  <si>
    <t>Dim m(24)</t>
  </si>
  <si>
    <t>Dim b(24)</t>
  </si>
  <si>
    <t>Units TT_C=Deg C</t>
  </si>
  <si>
    <t>Units SBT_C=Deg C</t>
  </si>
  <si>
    <t>Units TTmV=mV</t>
  </si>
  <si>
    <t>Average(1,SBT_C(</t>
  </si>
  <si>
    <t>Average(1,TT_C(</t>
  </si>
  <si>
    <t>Average(1,TTmV(</t>
  </si>
  <si>
    <t>Public SoilSurfTC(24)</t>
  </si>
  <si>
    <t>Mux</t>
  </si>
  <si>
    <t>Channel</t>
  </si>
  <si>
    <t>Average(1,LinPAR(</t>
  </si>
  <si>
    <t>Units LinPAR=mmolPAR</t>
  </si>
  <si>
    <t>,True,0,_60Hz,33.3,0)</t>
  </si>
  <si>
    <t>repeat above for ports 1 - 27 (2X32 ports)</t>
  </si>
  <si>
    <t>Multiplexor5 (2 x 32 mode)</t>
  </si>
  <si>
    <t>Public LinPAR(27)</t>
  </si>
  <si>
    <t>Multiplexor3 (4 x 16 mode)</t>
  </si>
  <si>
    <t>28H</t>
  </si>
  <si>
    <t>28L</t>
  </si>
  <si>
    <t>repeat above for ports 28 - 31 (2X32 ports)</t>
  </si>
  <si>
    <t>repeat above for ports 1 - 12 (4X16 ports)</t>
  </si>
  <si>
    <t>repeat above for ports 1 - 23 (2X32 ports)</t>
  </si>
  <si>
    <t>Only one of the even port will be used with this setup</t>
  </si>
  <si>
    <t>Radiation reflection and soil temp</t>
  </si>
  <si>
    <t>Linear PAR sensors and Thermocouples</t>
  </si>
  <si>
    <t>ports 9 -16 blank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</si>
</sst>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1"/>
      <name val="Tahoma"/>
      <family val="2"/>
    </font>
    <font>
      <b/>
      <sz val="10"/>
      <color indexed="81"/>
      <name val="Tahoma"/>
      <family val="2"/>
    </font>
    <font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"/>
      <name val="Calibri"/>
      <family val="2"/>
    </font>
    <font>
      <b/>
      <sz val="12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0.59999389629810485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6">
    <xf numFmtId="0" fontId="0" fillId="0" borderId="0" xfId="0"/>
    <xf numFmtId="0" fontId="0" fillId="2" borderId="0" xfId="0" applyFill="1"/>
    <xf numFmtId="0" fontId="0" fillId="4" borderId="0" xfId="0" applyFill="1"/>
    <xf numFmtId="0" fontId="0" fillId="0" borderId="0" xfId="0" applyFill="1"/>
    <xf numFmtId="0" fontId="0" fillId="5" borderId="0" xfId="0" applyFill="1" applyBorder="1"/>
    <xf numFmtId="0" fontId="0" fillId="6" borderId="0" xfId="0" applyFill="1"/>
    <xf numFmtId="0" fontId="0" fillId="7" borderId="0" xfId="0" applyFill="1"/>
    <xf numFmtId="0" fontId="0" fillId="8" borderId="0" xfId="0" applyFill="1"/>
    <xf numFmtId="0" fontId="1" fillId="4" borderId="1" xfId="0" applyFont="1" applyFill="1" applyBorder="1"/>
    <xf numFmtId="0" fontId="1" fillId="4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5" borderId="3" xfId="0" applyFill="1" applyBorder="1"/>
    <xf numFmtId="0" fontId="0" fillId="5" borderId="5" xfId="0" applyFill="1" applyBorder="1"/>
    <xf numFmtId="0" fontId="0" fillId="5" borderId="6" xfId="0" applyFill="1" applyBorder="1"/>
    <xf numFmtId="0" fontId="0" fillId="3" borderId="7" xfId="0" applyFill="1" applyBorder="1"/>
    <xf numFmtId="0" fontId="0" fillId="9" borderId="0" xfId="0" applyFill="1"/>
    <xf numFmtId="0" fontId="0" fillId="10" borderId="0" xfId="0" applyFill="1"/>
    <xf numFmtId="0" fontId="0" fillId="9" borderId="0" xfId="0" quotePrefix="1" applyFill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11" borderId="0" xfId="0" applyFill="1"/>
    <xf numFmtId="0" fontId="0" fillId="12" borderId="0" xfId="0" applyFill="1"/>
    <xf numFmtId="0" fontId="0" fillId="0" borderId="0" xfId="0" applyFont="1"/>
    <xf numFmtId="0" fontId="0" fillId="5" borderId="1" xfId="0" applyFill="1" applyBorder="1"/>
    <xf numFmtId="0" fontId="0" fillId="2" borderId="1" xfId="0" applyFill="1" applyBorder="1"/>
    <xf numFmtId="0" fontId="0" fillId="3" borderId="0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5" xfId="0" applyFill="1" applyBorder="1"/>
    <xf numFmtId="0" fontId="0" fillId="3" borderId="11" xfId="0" applyFill="1" applyBorder="1"/>
    <xf numFmtId="0" fontId="0" fillId="5" borderId="11" xfId="0" applyFill="1" applyBorder="1"/>
    <xf numFmtId="0" fontId="0" fillId="5" borderId="10" xfId="0" applyFill="1" applyBorder="1"/>
    <xf numFmtId="0" fontId="0" fillId="2" borderId="2" xfId="0" applyFill="1" applyBorder="1"/>
    <xf numFmtId="0" fontId="0" fillId="2" borderId="0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7" borderId="9" xfId="0" applyFill="1" applyBorder="1"/>
    <xf numFmtId="0" fontId="0" fillId="7" borderId="7" xfId="0" applyFill="1" applyBorder="1"/>
    <xf numFmtId="0" fontId="0" fillId="7" borderId="8" xfId="0" applyFill="1" applyBorder="1"/>
    <xf numFmtId="0" fontId="1" fillId="4" borderId="2" xfId="0" applyFont="1" applyFill="1" applyBorder="1"/>
    <xf numFmtId="0" fontId="1" fillId="4" borderId="4" xfId="0" applyFont="1" applyFill="1" applyBorder="1"/>
    <xf numFmtId="0" fontId="0" fillId="3" borderId="2" xfId="0" applyFill="1" applyBorder="1"/>
    <xf numFmtId="0" fontId="0" fillId="3" borderId="4" xfId="0" applyFill="1" applyBorder="1"/>
    <xf numFmtId="0" fontId="0" fillId="8" borderId="9" xfId="0" applyFill="1" applyBorder="1"/>
    <xf numFmtId="0" fontId="1" fillId="4" borderId="3" xfId="0" applyFont="1" applyFill="1" applyBorder="1"/>
    <xf numFmtId="0" fontId="0" fillId="8" borderId="8" xfId="0" applyFill="1" applyBorder="1"/>
    <xf numFmtId="0" fontId="0" fillId="0" borderId="0" xfId="0" quotePrefix="1"/>
    <xf numFmtId="0" fontId="0" fillId="2" borderId="9" xfId="0" applyFill="1" applyBorder="1"/>
    <xf numFmtId="0" fontId="0" fillId="7" borderId="12" xfId="0" applyFill="1" applyBorder="1"/>
    <xf numFmtId="0" fontId="7" fillId="0" borderId="0" xfId="0" applyFont="1"/>
    <xf numFmtId="0" fontId="0" fillId="3" borderId="1" xfId="0" applyFill="1" applyBorder="1"/>
    <xf numFmtId="0" fontId="6" fillId="0" borderId="14" xfId="0" applyFont="1" applyBorder="1"/>
    <xf numFmtId="0" fontId="1" fillId="4" borderId="0" xfId="0" applyFont="1" applyFill="1" applyBorder="1"/>
    <xf numFmtId="0" fontId="0" fillId="8" borderId="13" xfId="0" applyFill="1" applyBorder="1"/>
    <xf numFmtId="0" fontId="0" fillId="8" borderId="10" xfId="0" applyFill="1" applyBorder="1"/>
    <xf numFmtId="0" fontId="1" fillId="4" borderId="15" xfId="0" applyFont="1" applyFill="1" applyBorder="1"/>
    <xf numFmtId="0" fontId="1" fillId="4" borderId="16" xfId="0" applyFont="1" applyFill="1" applyBorder="1"/>
    <xf numFmtId="0" fontId="1" fillId="4" borderId="17" xfId="0" applyFont="1" applyFill="1" applyBorder="1"/>
    <xf numFmtId="0" fontId="1" fillId="4" borderId="11" xfId="0" applyFont="1" applyFill="1" applyBorder="1"/>
    <xf numFmtId="0" fontId="1" fillId="4" borderId="5" xfId="0" applyFont="1" applyFill="1" applyBorder="1"/>
    <xf numFmtId="0" fontId="0" fillId="3" borderId="13" xfId="0" applyFill="1" applyBorder="1"/>
    <xf numFmtId="0" fontId="0" fillId="3" borderId="3" xfId="0" applyFill="1" applyBorder="1"/>
    <xf numFmtId="0" fontId="0" fillId="3" borderId="6" xfId="0" applyFill="1" applyBorder="1"/>
    <xf numFmtId="2" fontId="0" fillId="5" borderId="15" xfId="0" applyNumberFormat="1" applyFill="1" applyBorder="1"/>
    <xf numFmtId="2" fontId="0" fillId="5" borderId="16" xfId="0" applyNumberFormat="1" applyFill="1" applyBorder="1"/>
    <xf numFmtId="2" fontId="0" fillId="5" borderId="17" xfId="0" applyNumberFormat="1" applyFill="1" applyBorder="1"/>
    <xf numFmtId="0" fontId="8" fillId="5" borderId="9" xfId="0" applyFont="1" applyFill="1" applyBorder="1" applyAlignment="1">
      <alignment horizontal="center"/>
    </xf>
    <xf numFmtId="0" fontId="8" fillId="5" borderId="7" xfId="0" applyFont="1" applyFill="1" applyBorder="1" applyAlignment="1">
      <alignment horizontal="center"/>
    </xf>
    <xf numFmtId="0" fontId="8" fillId="5" borderId="8" xfId="0" applyFont="1" applyFill="1" applyBorder="1" applyAlignment="1">
      <alignment horizontal="center"/>
    </xf>
    <xf numFmtId="0" fontId="8" fillId="18" borderId="9" xfId="0" applyFont="1" applyFill="1" applyBorder="1" applyAlignment="1">
      <alignment horizontal="center"/>
    </xf>
    <xf numFmtId="0" fontId="8" fillId="18" borderId="7" xfId="0" applyFont="1" applyFill="1" applyBorder="1" applyAlignment="1">
      <alignment horizontal="center"/>
    </xf>
    <xf numFmtId="0" fontId="8" fillId="18" borderId="8" xfId="0" applyFont="1" applyFill="1" applyBorder="1" applyAlignment="1">
      <alignment horizontal="center"/>
    </xf>
    <xf numFmtId="0" fontId="8" fillId="16" borderId="9" xfId="0" applyFont="1" applyFill="1" applyBorder="1" applyAlignment="1">
      <alignment horizontal="center"/>
    </xf>
    <xf numFmtId="0" fontId="8" fillId="16" borderId="7" xfId="0" applyFont="1" applyFill="1" applyBorder="1" applyAlignment="1">
      <alignment horizontal="center"/>
    </xf>
    <xf numFmtId="0" fontId="8" fillId="16" borderId="8" xfId="0" applyFont="1" applyFill="1" applyBorder="1" applyAlignment="1">
      <alignment horizontal="center"/>
    </xf>
    <xf numFmtId="0" fontId="0" fillId="17" borderId="9" xfId="0" applyFill="1" applyBorder="1" applyAlignment="1">
      <alignment horizontal="center"/>
    </xf>
    <xf numFmtId="0" fontId="0" fillId="17" borderId="7" xfId="0" applyFill="1" applyBorder="1" applyAlignment="1">
      <alignment horizontal="center"/>
    </xf>
    <xf numFmtId="0" fontId="0" fillId="17" borderId="8" xfId="0" applyFill="1" applyBorder="1" applyAlignment="1">
      <alignment horizontal="center"/>
    </xf>
    <xf numFmtId="0" fontId="8" fillId="14" borderId="9" xfId="0" applyFont="1" applyFill="1" applyBorder="1" applyAlignment="1">
      <alignment horizontal="center"/>
    </xf>
    <xf numFmtId="0" fontId="8" fillId="14" borderId="7" xfId="0" applyFont="1" applyFill="1" applyBorder="1" applyAlignment="1">
      <alignment horizontal="center"/>
    </xf>
    <xf numFmtId="0" fontId="8" fillId="14" borderId="8" xfId="0" applyFont="1" applyFill="1" applyBorder="1" applyAlignment="1">
      <alignment horizontal="center"/>
    </xf>
    <xf numFmtId="0" fontId="8" fillId="13" borderId="9" xfId="0" applyFont="1" applyFill="1" applyBorder="1" applyAlignment="1">
      <alignment horizontal="center"/>
    </xf>
    <xf numFmtId="0" fontId="8" fillId="13" borderId="7" xfId="0" applyFont="1" applyFill="1" applyBorder="1" applyAlignment="1">
      <alignment horizontal="center"/>
    </xf>
    <xf numFmtId="0" fontId="8" fillId="13" borderId="8" xfId="0" applyFont="1" applyFill="1" applyBorder="1" applyAlignment="1">
      <alignment horizontal="center"/>
    </xf>
    <xf numFmtId="0" fontId="0" fillId="15" borderId="9" xfId="0" applyFill="1" applyBorder="1" applyAlignment="1">
      <alignment horizontal="center"/>
    </xf>
    <xf numFmtId="0" fontId="0" fillId="15" borderId="7" xfId="0" applyFill="1" applyBorder="1" applyAlignment="1">
      <alignment horizontal="center"/>
    </xf>
    <xf numFmtId="0" fontId="0" fillId="15" borderId="8" xfId="0" applyFill="1" applyBorder="1" applyAlignment="1">
      <alignment horizontal="center"/>
    </xf>
    <xf numFmtId="0" fontId="8" fillId="7" borderId="9" xfId="0" applyFont="1" applyFill="1" applyBorder="1" applyAlignment="1">
      <alignment horizontal="center"/>
    </xf>
    <xf numFmtId="0" fontId="8" fillId="7" borderId="7" xfId="0" applyFont="1" applyFill="1" applyBorder="1" applyAlignment="1">
      <alignment horizontal="center"/>
    </xf>
    <xf numFmtId="0" fontId="8" fillId="7" borderId="8" xfId="0" applyFont="1" applyFill="1" applyBorder="1" applyAlignment="1">
      <alignment horizontal="center"/>
    </xf>
    <xf numFmtId="0" fontId="0" fillId="13" borderId="9" xfId="0" applyFill="1" applyBorder="1" applyAlignment="1">
      <alignment horizontal="center"/>
    </xf>
    <xf numFmtId="0" fontId="0" fillId="13" borderId="7" xfId="0" applyFill="1" applyBorder="1" applyAlignment="1">
      <alignment horizontal="center"/>
    </xf>
    <xf numFmtId="0" fontId="0" fillId="13" borderId="8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7"/>
  <sheetViews>
    <sheetView tabSelected="1" topLeftCell="A82" workbookViewId="0">
      <selection activeCell="A145" sqref="A145"/>
    </sheetView>
  </sheetViews>
  <sheetFormatPr defaultRowHeight="15" x14ac:dyDescent="0.25"/>
  <cols>
    <col min="1" max="1" width="11.140625" customWidth="1"/>
    <col min="2" max="2" width="43.28515625" customWidth="1"/>
    <col min="3" max="3" width="19.7109375" bestFit="1" customWidth="1"/>
  </cols>
  <sheetData>
    <row r="1" spans="1:3" x14ac:dyDescent="0.25">
      <c r="A1" t="s">
        <v>37</v>
      </c>
    </row>
    <row r="2" spans="1:3" x14ac:dyDescent="0.25">
      <c r="A2" s="19" t="s">
        <v>57</v>
      </c>
    </row>
    <row r="3" spans="1:3" x14ac:dyDescent="0.25">
      <c r="A3">
        <v>1</v>
      </c>
      <c r="B3" s="2" t="s">
        <v>36</v>
      </c>
    </row>
    <row r="4" spans="1:3" x14ac:dyDescent="0.25">
      <c r="A4">
        <f>A3+1</f>
        <v>2</v>
      </c>
      <c r="B4" s="2" t="s">
        <v>47</v>
      </c>
    </row>
    <row r="5" spans="1:3" x14ac:dyDescent="0.25">
      <c r="A5">
        <f>A4+1</f>
        <v>3</v>
      </c>
      <c r="B5" s="15" t="s">
        <v>38</v>
      </c>
    </row>
    <row r="6" spans="1:3" x14ac:dyDescent="0.25">
      <c r="A6">
        <f>A5+1</f>
        <v>4</v>
      </c>
      <c r="B6" t="s">
        <v>39</v>
      </c>
    </row>
    <row r="7" spans="1:3" x14ac:dyDescent="0.25">
      <c r="A7">
        <f>A6+1</f>
        <v>5</v>
      </c>
      <c r="B7" t="s">
        <v>40</v>
      </c>
    </row>
    <row r="9" spans="1:3" x14ac:dyDescent="0.25">
      <c r="A9" s="19" t="s">
        <v>56</v>
      </c>
    </row>
    <row r="10" spans="1:3" x14ac:dyDescent="0.25">
      <c r="A10" t="s">
        <v>58</v>
      </c>
      <c r="B10" t="s">
        <v>119</v>
      </c>
      <c r="C10" t="s">
        <v>119</v>
      </c>
    </row>
    <row r="11" spans="1:3" x14ac:dyDescent="0.25">
      <c r="B11" s="18" t="s">
        <v>105</v>
      </c>
    </row>
    <row r="12" spans="1:3" x14ac:dyDescent="0.25">
      <c r="A12" s="23" t="str">
        <f>"SE"&amp;TempSignalSEChan</f>
        <v>SE9</v>
      </c>
      <c r="B12" t="s">
        <v>154</v>
      </c>
    </row>
    <row r="13" spans="1:3" x14ac:dyDescent="0.25">
      <c r="A13" s="23" t="str">
        <f>"SE"&amp;HumSignalSEChan</f>
        <v>SE10</v>
      </c>
      <c r="B13" t="s">
        <v>108</v>
      </c>
    </row>
    <row r="14" spans="1:3" x14ac:dyDescent="0.25">
      <c r="A14" t="s">
        <v>60</v>
      </c>
      <c r="B14" t="s">
        <v>107</v>
      </c>
    </row>
    <row r="15" spans="1:3" x14ac:dyDescent="0.25">
      <c r="A15" t="s">
        <v>59</v>
      </c>
      <c r="B15" t="s">
        <v>155</v>
      </c>
    </row>
    <row r="16" spans="1:3" x14ac:dyDescent="0.25">
      <c r="A16" s="20" t="s">
        <v>61</v>
      </c>
      <c r="B16" t="s">
        <v>109</v>
      </c>
    </row>
    <row r="17" spans="1:2" x14ac:dyDescent="0.25">
      <c r="A17" s="23"/>
    </row>
    <row r="18" spans="1:2" x14ac:dyDescent="0.25">
      <c r="A18" s="23"/>
      <c r="B18" s="18" t="s">
        <v>110</v>
      </c>
    </row>
    <row r="19" spans="1:2" x14ac:dyDescent="0.25">
      <c r="A19" s="23" t="str">
        <f>RadnSignalDifflChan&amp;"H"</f>
        <v>6H</v>
      </c>
      <c r="B19" t="s">
        <v>108</v>
      </c>
    </row>
    <row r="20" spans="1:2" x14ac:dyDescent="0.25">
      <c r="A20" s="23" t="str">
        <f>RadnSignalDifflChan&amp;"L"</f>
        <v>6L</v>
      </c>
      <c r="B20" t="s">
        <v>106</v>
      </c>
    </row>
    <row r="21" spans="1:2" x14ac:dyDescent="0.25">
      <c r="A21" s="20" t="s">
        <v>61</v>
      </c>
      <c r="B21" t="s">
        <v>111</v>
      </c>
    </row>
    <row r="22" spans="1:2" x14ac:dyDescent="0.25">
      <c r="A22" s="20" t="s">
        <v>61</v>
      </c>
      <c r="B22" t="s">
        <v>109</v>
      </c>
    </row>
    <row r="23" spans="1:2" x14ac:dyDescent="0.25">
      <c r="A23" s="20"/>
    </row>
    <row r="24" spans="1:2" x14ac:dyDescent="0.25">
      <c r="A24" s="20"/>
      <c r="B24" s="18" t="s">
        <v>118</v>
      </c>
    </row>
    <row r="25" spans="1:2" x14ac:dyDescent="0.25">
      <c r="A25" s="20" t="str">
        <f>"P"&amp;RainSignalPulseChan</f>
        <v>P1</v>
      </c>
      <c r="B25" t="s">
        <v>154</v>
      </c>
    </row>
    <row r="26" spans="1:2" x14ac:dyDescent="0.25">
      <c r="A26" s="20" t="s">
        <v>60</v>
      </c>
      <c r="B26" t="s">
        <v>156</v>
      </c>
    </row>
    <row r="27" spans="1:2" x14ac:dyDescent="0.25">
      <c r="A27" s="20"/>
    </row>
    <row r="28" spans="1:2" x14ac:dyDescent="0.25">
      <c r="A28" s="20"/>
      <c r="B28" s="18" t="s">
        <v>121</v>
      </c>
    </row>
    <row r="29" spans="1:2" x14ac:dyDescent="0.25">
      <c r="A29" s="20" t="str">
        <f>"P"&amp;WindSignalPulseChan</f>
        <v>P2</v>
      </c>
      <c r="B29" t="s">
        <v>107</v>
      </c>
    </row>
    <row r="30" spans="1:2" x14ac:dyDescent="0.25">
      <c r="A30" s="20" t="s">
        <v>152</v>
      </c>
      <c r="B30" t="s">
        <v>108</v>
      </c>
    </row>
    <row r="31" spans="1:2" x14ac:dyDescent="0.25">
      <c r="A31" s="20" t="s">
        <v>60</v>
      </c>
      <c r="B31" t="s">
        <v>109</v>
      </c>
    </row>
    <row r="32" spans="1:2" x14ac:dyDescent="0.25">
      <c r="A32" s="20" t="s">
        <v>60</v>
      </c>
      <c r="B32" t="s">
        <v>154</v>
      </c>
    </row>
    <row r="33" spans="1:2" x14ac:dyDescent="0.25">
      <c r="A33" s="20"/>
    </row>
    <row r="34" spans="1:2" x14ac:dyDescent="0.25">
      <c r="A34" s="20"/>
      <c r="B34" s="18" t="s">
        <v>149</v>
      </c>
    </row>
    <row r="35" spans="1:2" x14ac:dyDescent="0.25">
      <c r="A35" s="20" t="str">
        <f>"SE"&amp;LeafWetnessSEChan</f>
        <v>SE15</v>
      </c>
      <c r="B35" t="s">
        <v>108</v>
      </c>
    </row>
    <row r="36" spans="1:2" x14ac:dyDescent="0.25">
      <c r="A36" s="20" t="str">
        <f>"VX"&amp;LeafWetnessVXChan</f>
        <v>VX1</v>
      </c>
      <c r="B36" t="s">
        <v>106</v>
      </c>
    </row>
    <row r="37" spans="1:2" x14ac:dyDescent="0.25">
      <c r="A37" s="20" t="s">
        <v>60</v>
      </c>
      <c r="B37" t="s">
        <v>150</v>
      </c>
    </row>
    <row r="38" spans="1:2" x14ac:dyDescent="0.25">
      <c r="A38" s="23" t="s">
        <v>60</v>
      </c>
      <c r="B38" t="s">
        <v>77</v>
      </c>
    </row>
    <row r="39" spans="1:2" x14ac:dyDescent="0.25">
      <c r="A39" s="23"/>
    </row>
    <row r="40" spans="1:2" x14ac:dyDescent="0.25">
      <c r="A40" s="23"/>
      <c r="B40" s="18" t="s">
        <v>212</v>
      </c>
    </row>
    <row r="41" spans="1:2" x14ac:dyDescent="0.25">
      <c r="A41" s="23" t="str">
        <f>PyrradiometerDiffChan&amp;"H"</f>
        <v>7H</v>
      </c>
      <c r="B41" t="s">
        <v>108</v>
      </c>
    </row>
    <row r="42" spans="1:2" x14ac:dyDescent="0.25">
      <c r="A42" s="23" t="str">
        <f>PyrradiometerDiffChan&amp;"L"</f>
        <v>7L</v>
      </c>
      <c r="B42" t="s">
        <v>154</v>
      </c>
    </row>
    <row r="43" spans="1:2" x14ac:dyDescent="0.25">
      <c r="A43" t="s">
        <v>217</v>
      </c>
      <c r="B43" t="s">
        <v>218</v>
      </c>
    </row>
    <row r="44" spans="1:2" x14ac:dyDescent="0.25">
      <c r="A44" t="s">
        <v>60</v>
      </c>
      <c r="B44" t="s">
        <v>219</v>
      </c>
    </row>
    <row r="46" spans="1:2" x14ac:dyDescent="0.25">
      <c r="A46" s="18" t="s">
        <v>58</v>
      </c>
      <c r="B46" s="18" t="s">
        <v>257</v>
      </c>
    </row>
    <row r="47" spans="1:2" x14ac:dyDescent="0.25">
      <c r="A47" t="str">
        <f>"C"&amp;ClockComChannel</f>
        <v>C1</v>
      </c>
      <c r="B47" t="s">
        <v>62</v>
      </c>
    </row>
    <row r="48" spans="1:2" x14ac:dyDescent="0.25">
      <c r="A48" t="str">
        <f>"C"&amp;MUX1ResComChannel</f>
        <v>C2</v>
      </c>
      <c r="B48" t="s">
        <v>63</v>
      </c>
    </row>
    <row r="49" spans="1:3" x14ac:dyDescent="0.25">
      <c r="A49" t="s">
        <v>59</v>
      </c>
      <c r="B49" t="s">
        <v>59</v>
      </c>
    </row>
    <row r="50" spans="1:3" x14ac:dyDescent="0.25">
      <c r="A50" t="s">
        <v>60</v>
      </c>
      <c r="B50" t="s">
        <v>60</v>
      </c>
    </row>
    <row r="51" spans="1:3" x14ac:dyDescent="0.25">
      <c r="A51" t="str">
        <f>MUX1DiffChannel&amp;"H"</f>
        <v>1H</v>
      </c>
      <c r="B51" t="s">
        <v>64</v>
      </c>
    </row>
    <row r="52" spans="1:3" x14ac:dyDescent="0.25">
      <c r="A52" t="str">
        <f>MUX1DiffChannel&amp;"L"</f>
        <v>1L</v>
      </c>
      <c r="B52" t="s">
        <v>65</v>
      </c>
    </row>
    <row r="53" spans="1:3" x14ac:dyDescent="0.25">
      <c r="A53" t="str">
        <f>MUX1SEChannel&amp;"SE"</f>
        <v>3SE</v>
      </c>
      <c r="B53" t="s">
        <v>66</v>
      </c>
    </row>
    <row r="54" spans="1:3" x14ac:dyDescent="0.25">
      <c r="A54" t="str">
        <f>"VX"&amp;MUX1VXChannel</f>
        <v>VX2</v>
      </c>
      <c r="B54" t="s">
        <v>67</v>
      </c>
    </row>
    <row r="55" spans="1:3" x14ac:dyDescent="0.25">
      <c r="A55" s="20" t="s">
        <v>61</v>
      </c>
      <c r="B55" t="s">
        <v>68</v>
      </c>
      <c r="C55" s="18" t="s">
        <v>120</v>
      </c>
    </row>
    <row r="56" spans="1:3" x14ac:dyDescent="0.25">
      <c r="B56" t="s">
        <v>69</v>
      </c>
      <c r="C56" t="s">
        <v>73</v>
      </c>
    </row>
    <row r="57" spans="1:3" x14ac:dyDescent="0.25">
      <c r="B57" t="s">
        <v>70</v>
      </c>
      <c r="C57" t="s">
        <v>74</v>
      </c>
    </row>
    <row r="58" spans="1:3" x14ac:dyDescent="0.25">
      <c r="B58" t="s">
        <v>71</v>
      </c>
      <c r="C58" t="s">
        <v>75</v>
      </c>
    </row>
    <row r="59" spans="1:3" x14ac:dyDescent="0.25">
      <c r="B59" t="s">
        <v>72</v>
      </c>
      <c r="C59" t="s">
        <v>76</v>
      </c>
    </row>
    <row r="60" spans="1:3" x14ac:dyDescent="0.25">
      <c r="B60" s="20" t="s">
        <v>61</v>
      </c>
      <c r="C60" t="s">
        <v>77</v>
      </c>
    </row>
    <row r="61" spans="1:3" x14ac:dyDescent="0.25">
      <c r="B61" s="20" t="s">
        <v>61</v>
      </c>
      <c r="C61" t="s">
        <v>78</v>
      </c>
    </row>
    <row r="62" spans="1:3" x14ac:dyDescent="0.25">
      <c r="B62" s="20" t="s">
        <v>79</v>
      </c>
    </row>
    <row r="64" spans="1:3" x14ac:dyDescent="0.25">
      <c r="A64" s="18" t="s">
        <v>58</v>
      </c>
      <c r="B64" s="18" t="s">
        <v>258</v>
      </c>
    </row>
    <row r="65" spans="1:3" x14ac:dyDescent="0.25">
      <c r="A65" t="str">
        <f>"C"&amp;ClockComChannel</f>
        <v>C1</v>
      </c>
      <c r="B65" t="s">
        <v>62</v>
      </c>
    </row>
    <row r="66" spans="1:3" x14ac:dyDescent="0.25">
      <c r="A66" t="str">
        <f>"C"&amp;MUX2ResComChannel</f>
        <v>C3</v>
      </c>
      <c r="B66" t="s">
        <v>63</v>
      </c>
    </row>
    <row r="67" spans="1:3" x14ac:dyDescent="0.25">
      <c r="A67" t="s">
        <v>59</v>
      </c>
      <c r="B67" t="s">
        <v>59</v>
      </c>
    </row>
    <row r="68" spans="1:3" x14ac:dyDescent="0.25">
      <c r="A68" t="s">
        <v>60</v>
      </c>
      <c r="B68" t="s">
        <v>60</v>
      </c>
    </row>
    <row r="69" spans="1:3" x14ac:dyDescent="0.25">
      <c r="A69" t="str">
        <f>MUX2DiffChannel&amp;"H"</f>
        <v>3H</v>
      </c>
      <c r="B69" t="s">
        <v>64</v>
      </c>
    </row>
    <row r="70" spans="1:3" x14ac:dyDescent="0.25">
      <c r="A70" t="str">
        <f>MUX2DiffChannel&amp;"L"</f>
        <v>3L</v>
      </c>
      <c r="B70" t="s">
        <v>65</v>
      </c>
    </row>
    <row r="71" spans="1:3" x14ac:dyDescent="0.25">
      <c r="A71" t="str">
        <f>MUX2SEChannel&amp;"SE"</f>
        <v>4SE</v>
      </c>
      <c r="B71" t="s">
        <v>66</v>
      </c>
    </row>
    <row r="72" spans="1:3" x14ac:dyDescent="0.25">
      <c r="A72" t="str">
        <f>"VX"&amp;MUX2VXChannel</f>
        <v>VX3</v>
      </c>
      <c r="B72" t="s">
        <v>67</v>
      </c>
    </row>
    <row r="73" spans="1:3" x14ac:dyDescent="0.25">
      <c r="A73" s="20" t="s">
        <v>61</v>
      </c>
      <c r="B73" t="s">
        <v>68</v>
      </c>
      <c r="C73" s="18" t="s">
        <v>120</v>
      </c>
    </row>
    <row r="74" spans="1:3" x14ac:dyDescent="0.25">
      <c r="B74" t="s">
        <v>69</v>
      </c>
      <c r="C74" t="s">
        <v>73</v>
      </c>
    </row>
    <row r="75" spans="1:3" x14ac:dyDescent="0.25">
      <c r="B75" t="s">
        <v>70</v>
      </c>
      <c r="C75" t="s">
        <v>74</v>
      </c>
    </row>
    <row r="76" spans="1:3" x14ac:dyDescent="0.25">
      <c r="B76" t="s">
        <v>71</v>
      </c>
      <c r="C76" t="s">
        <v>75</v>
      </c>
    </row>
    <row r="77" spans="1:3" x14ac:dyDescent="0.25">
      <c r="B77" t="s">
        <v>72</v>
      </c>
      <c r="C77" t="s">
        <v>76</v>
      </c>
    </row>
    <row r="78" spans="1:3" x14ac:dyDescent="0.25">
      <c r="B78" s="20" t="s">
        <v>61</v>
      </c>
      <c r="C78" t="s">
        <v>77</v>
      </c>
    </row>
    <row r="79" spans="1:3" x14ac:dyDescent="0.25">
      <c r="B79" s="20" t="s">
        <v>61</v>
      </c>
      <c r="C79" t="s">
        <v>78</v>
      </c>
    </row>
    <row r="80" spans="1:3" x14ac:dyDescent="0.25">
      <c r="B80" s="20" t="s">
        <v>262</v>
      </c>
    </row>
    <row r="81" spans="1:3" x14ac:dyDescent="0.25">
      <c r="C81" s="18"/>
    </row>
    <row r="82" spans="1:3" x14ac:dyDescent="0.25">
      <c r="B82" s="20" t="s">
        <v>295</v>
      </c>
    </row>
    <row r="84" spans="1:3" x14ac:dyDescent="0.25">
      <c r="B84" s="20"/>
    </row>
    <row r="85" spans="1:3" x14ac:dyDescent="0.25">
      <c r="C85" s="52"/>
    </row>
    <row r="87" spans="1:3" x14ac:dyDescent="0.25">
      <c r="C87" s="49"/>
    </row>
    <row r="88" spans="1:3" x14ac:dyDescent="0.25">
      <c r="B88" s="20"/>
    </row>
    <row r="89" spans="1:3" x14ac:dyDescent="0.25">
      <c r="B89" s="20"/>
    </row>
    <row r="92" spans="1:3" x14ac:dyDescent="0.25">
      <c r="A92" s="18" t="s">
        <v>58</v>
      </c>
      <c r="B92" s="18" t="s">
        <v>286</v>
      </c>
    </row>
    <row r="93" spans="1:3" x14ac:dyDescent="0.25">
      <c r="A93" t="str">
        <f>"C"&amp;ClockComChannel</f>
        <v>C1</v>
      </c>
      <c r="B93" t="s">
        <v>62</v>
      </c>
    </row>
    <row r="94" spans="1:3" x14ac:dyDescent="0.25">
      <c r="A94" t="str">
        <f>"C"&amp;MUX3ResComChannel</f>
        <v>C4</v>
      </c>
      <c r="B94" t="s">
        <v>63</v>
      </c>
    </row>
    <row r="95" spans="1:3" x14ac:dyDescent="0.25">
      <c r="A95" t="s">
        <v>59</v>
      </c>
      <c r="B95" t="s">
        <v>59</v>
      </c>
    </row>
    <row r="96" spans="1:3" x14ac:dyDescent="0.25">
      <c r="A96" t="s">
        <v>60</v>
      </c>
      <c r="B96" t="s">
        <v>60</v>
      </c>
    </row>
    <row r="97" spans="1:4" x14ac:dyDescent="0.25">
      <c r="A97" t="str">
        <f>MUX3DiffChannel&amp;"H"</f>
        <v>4H</v>
      </c>
      <c r="B97" t="s">
        <v>64</v>
      </c>
    </row>
    <row r="98" spans="1:4" x14ac:dyDescent="0.25">
      <c r="A98" t="str">
        <f>MUX3DiffChannel&amp;"L"</f>
        <v>4L</v>
      </c>
      <c r="B98" t="s">
        <v>65</v>
      </c>
    </row>
    <row r="99" spans="1:4" x14ac:dyDescent="0.25">
      <c r="A99" t="str">
        <f>MUX3SEChannel&amp;"SE"</f>
        <v>16SE</v>
      </c>
      <c r="B99" t="s">
        <v>66</v>
      </c>
    </row>
    <row r="100" spans="1:4" x14ac:dyDescent="0.25">
      <c r="A100" t="str">
        <f>"VX"&amp;MUX3VXChannel</f>
        <v>VX1</v>
      </c>
      <c r="B100" t="s">
        <v>67</v>
      </c>
    </row>
    <row r="101" spans="1:4" x14ac:dyDescent="0.25">
      <c r="A101" s="20" t="s">
        <v>61</v>
      </c>
      <c r="B101" t="s">
        <v>68</v>
      </c>
      <c r="C101" s="18"/>
    </row>
    <row r="103" spans="1:4" x14ac:dyDescent="0.25">
      <c r="C103" s="52" t="s">
        <v>164</v>
      </c>
    </row>
    <row r="104" spans="1:4" x14ac:dyDescent="0.25">
      <c r="B104" s="20" t="s">
        <v>69</v>
      </c>
      <c r="C104" t="s">
        <v>108</v>
      </c>
      <c r="D104" t="s">
        <v>171</v>
      </c>
    </row>
    <row r="105" spans="1:4" x14ac:dyDescent="0.25">
      <c r="B105" s="20" t="s">
        <v>70</v>
      </c>
      <c r="C105" t="s">
        <v>106</v>
      </c>
      <c r="D105" t="s">
        <v>170</v>
      </c>
    </row>
    <row r="106" spans="1:4" x14ac:dyDescent="0.25">
      <c r="B106" s="20" t="s">
        <v>61</v>
      </c>
      <c r="C106" t="s">
        <v>111</v>
      </c>
      <c r="D106" t="s">
        <v>169</v>
      </c>
    </row>
    <row r="107" spans="1:4" x14ac:dyDescent="0.25">
      <c r="B107" s="20" t="s">
        <v>61</v>
      </c>
      <c r="C107" t="s">
        <v>109</v>
      </c>
      <c r="D107" t="s">
        <v>168</v>
      </c>
    </row>
    <row r="108" spans="1:4" x14ac:dyDescent="0.25">
      <c r="B108" s="20" t="s">
        <v>290</v>
      </c>
    </row>
    <row r="109" spans="1:4" x14ac:dyDescent="0.25">
      <c r="B109" s="20"/>
    </row>
    <row r="110" spans="1:4" x14ac:dyDescent="0.25">
      <c r="C110" s="54" t="s">
        <v>165</v>
      </c>
    </row>
    <row r="111" spans="1:4" x14ac:dyDescent="0.25">
      <c r="B111" s="20" t="s">
        <v>71</v>
      </c>
      <c r="C111" t="s">
        <v>108</v>
      </c>
      <c r="D111" t="s">
        <v>166</v>
      </c>
    </row>
    <row r="112" spans="1:4" x14ac:dyDescent="0.25">
      <c r="B112" s="20" t="s">
        <v>72</v>
      </c>
      <c r="C112" t="s">
        <v>106</v>
      </c>
      <c r="D112" t="s">
        <v>167</v>
      </c>
    </row>
    <row r="113" spans="1:4" x14ac:dyDescent="0.25">
      <c r="B113" s="20" t="s">
        <v>61</v>
      </c>
      <c r="C113" t="s">
        <v>161</v>
      </c>
      <c r="D113" t="s">
        <v>169</v>
      </c>
    </row>
    <row r="114" spans="1:4" x14ac:dyDescent="0.25">
      <c r="B114" s="20" t="s">
        <v>61</v>
      </c>
      <c r="C114" t="s">
        <v>109</v>
      </c>
      <c r="D114" t="s">
        <v>168</v>
      </c>
    </row>
    <row r="115" spans="1:4" x14ac:dyDescent="0.25">
      <c r="B115" s="20"/>
    </row>
    <row r="116" spans="1:4" x14ac:dyDescent="0.25">
      <c r="B116" s="20" t="s">
        <v>292</v>
      </c>
    </row>
    <row r="117" spans="1:4" x14ac:dyDescent="0.25">
      <c r="B117" s="20"/>
    </row>
    <row r="118" spans="1:4" x14ac:dyDescent="0.25">
      <c r="A118" s="18" t="s">
        <v>58</v>
      </c>
      <c r="B118" s="18" t="s">
        <v>263</v>
      </c>
    </row>
    <row r="119" spans="1:4" x14ac:dyDescent="0.25">
      <c r="A119" t="str">
        <f>"C"&amp;ClockComChannel</f>
        <v>C1</v>
      </c>
      <c r="B119" t="s">
        <v>62</v>
      </c>
    </row>
    <row r="120" spans="1:4" x14ac:dyDescent="0.25">
      <c r="A120" t="str">
        <f>"C"&amp;MUX4ResComChannel</f>
        <v>C5</v>
      </c>
      <c r="B120" t="s">
        <v>63</v>
      </c>
    </row>
    <row r="121" spans="1:4" x14ac:dyDescent="0.25">
      <c r="A121" t="s">
        <v>59</v>
      </c>
      <c r="B121" t="s">
        <v>59</v>
      </c>
    </row>
    <row r="122" spans="1:4" x14ac:dyDescent="0.25">
      <c r="A122" t="s">
        <v>60</v>
      </c>
      <c r="B122" t="s">
        <v>60</v>
      </c>
    </row>
    <row r="123" spans="1:4" x14ac:dyDescent="0.25">
      <c r="A123" t="str">
        <f>MUX4SEChannel&amp;"H"</f>
        <v>16H</v>
      </c>
      <c r="B123" t="s">
        <v>64</v>
      </c>
    </row>
    <row r="124" spans="1:4" x14ac:dyDescent="0.25">
      <c r="A124" t="str">
        <f>"VX"&amp;MUX4VXChannel</f>
        <v>VX1</v>
      </c>
      <c r="B124" t="s">
        <v>65</v>
      </c>
    </row>
    <row r="125" spans="1:4" x14ac:dyDescent="0.25">
      <c r="A125" s="20" t="s">
        <v>61</v>
      </c>
      <c r="B125" t="s">
        <v>68</v>
      </c>
      <c r="C125" s="18"/>
    </row>
    <row r="126" spans="1:4" x14ac:dyDescent="0.25">
      <c r="C126" s="54" t="s">
        <v>165</v>
      </c>
    </row>
    <row r="127" spans="1:4" x14ac:dyDescent="0.25">
      <c r="B127" s="20" t="s">
        <v>69</v>
      </c>
      <c r="C127" t="s">
        <v>108</v>
      </c>
      <c r="D127" t="s">
        <v>166</v>
      </c>
    </row>
    <row r="128" spans="1:4" x14ac:dyDescent="0.25">
      <c r="B128" s="20" t="s">
        <v>70</v>
      </c>
      <c r="C128" t="s">
        <v>106</v>
      </c>
      <c r="D128" t="s">
        <v>167</v>
      </c>
    </row>
    <row r="129" spans="1:4" x14ac:dyDescent="0.25">
      <c r="B129" s="20" t="s">
        <v>61</v>
      </c>
      <c r="C129" t="s">
        <v>161</v>
      </c>
      <c r="D129" t="s">
        <v>169</v>
      </c>
    </row>
    <row r="130" spans="1:4" x14ac:dyDescent="0.25">
      <c r="B130" s="20" t="s">
        <v>61</v>
      </c>
      <c r="C130" t="s">
        <v>109</v>
      </c>
      <c r="D130" t="s">
        <v>168</v>
      </c>
    </row>
    <row r="131" spans="1:4" x14ac:dyDescent="0.25">
      <c r="B131" s="20" t="s">
        <v>291</v>
      </c>
    </row>
    <row r="132" spans="1:4" x14ac:dyDescent="0.25">
      <c r="C132" s="52" t="s">
        <v>162</v>
      </c>
    </row>
    <row r="133" spans="1:4" x14ac:dyDescent="0.25">
      <c r="B133" t="s">
        <v>264</v>
      </c>
      <c r="C133" t="s">
        <v>111</v>
      </c>
      <c r="D133" t="s">
        <v>171</v>
      </c>
    </row>
    <row r="134" spans="1:4" x14ac:dyDescent="0.25">
      <c r="B134" t="s">
        <v>265</v>
      </c>
      <c r="C134" s="49" t="s">
        <v>163</v>
      </c>
    </row>
    <row r="135" spans="1:4" x14ac:dyDescent="0.25">
      <c r="B135" s="20" t="s">
        <v>61</v>
      </c>
      <c r="C135" t="s">
        <v>107</v>
      </c>
      <c r="D135" t="s">
        <v>170</v>
      </c>
    </row>
    <row r="136" spans="1:4" x14ac:dyDescent="0.25">
      <c r="B136" s="20" t="s">
        <v>61</v>
      </c>
      <c r="C136" t="s">
        <v>106</v>
      </c>
      <c r="D136" t="s">
        <v>172</v>
      </c>
    </row>
    <row r="137" spans="1:4" x14ac:dyDescent="0.25">
      <c r="B137" s="20" t="s">
        <v>266</v>
      </c>
      <c r="C137" s="52"/>
    </row>
    <row r="138" spans="1:4" x14ac:dyDescent="0.25">
      <c r="B138" s="20"/>
    </row>
    <row r="139" spans="1:4" x14ac:dyDescent="0.25">
      <c r="A139" s="18" t="s">
        <v>58</v>
      </c>
      <c r="B139" s="18" t="s">
        <v>284</v>
      </c>
    </row>
    <row r="140" spans="1:4" x14ac:dyDescent="0.25">
      <c r="A140" t="str">
        <f>"C"&amp;ClockComChannel</f>
        <v>C1</v>
      </c>
      <c r="B140" t="s">
        <v>62</v>
      </c>
    </row>
    <row r="141" spans="1:4" x14ac:dyDescent="0.25">
      <c r="A141" t="str">
        <f>"C"&amp;Mux5ResComChannel</f>
        <v>C6</v>
      </c>
      <c r="B141" t="s">
        <v>63</v>
      </c>
    </row>
    <row r="142" spans="1:4" x14ac:dyDescent="0.25">
      <c r="A142" t="s">
        <v>59</v>
      </c>
      <c r="B142" t="s">
        <v>59</v>
      </c>
    </row>
    <row r="143" spans="1:4" x14ac:dyDescent="0.25">
      <c r="A143" t="s">
        <v>60</v>
      </c>
      <c r="B143" t="s">
        <v>60</v>
      </c>
    </row>
    <row r="144" spans="1:4" x14ac:dyDescent="0.25">
      <c r="A144" t="str">
        <f>Mux5DiffChannel&amp;"H"</f>
        <v>7H</v>
      </c>
      <c r="B144" t="s">
        <v>64</v>
      </c>
    </row>
    <row r="145" spans="1:4" x14ac:dyDescent="0.25">
      <c r="A145" t="str">
        <f>Mux5DiffChannel&amp;"L"</f>
        <v>7L</v>
      </c>
      <c r="B145" t="s">
        <v>65</v>
      </c>
    </row>
    <row r="146" spans="1:4" x14ac:dyDescent="0.25">
      <c r="A146" s="20" t="s">
        <v>61</v>
      </c>
      <c r="B146" t="s">
        <v>68</v>
      </c>
      <c r="C146" s="18"/>
    </row>
    <row r="147" spans="1:4" x14ac:dyDescent="0.25">
      <c r="C147" s="52" t="s">
        <v>259</v>
      </c>
    </row>
    <row r="148" spans="1:4" x14ac:dyDescent="0.25">
      <c r="B148" t="s">
        <v>69</v>
      </c>
      <c r="C148" t="s">
        <v>108</v>
      </c>
      <c r="D148" t="s">
        <v>260</v>
      </c>
    </row>
    <row r="149" spans="1:4" x14ac:dyDescent="0.25">
      <c r="B149" t="s">
        <v>70</v>
      </c>
      <c r="C149" t="s">
        <v>106</v>
      </c>
      <c r="D149" t="s">
        <v>163</v>
      </c>
    </row>
    <row r="150" spans="1:4" x14ac:dyDescent="0.25">
      <c r="B150" s="20" t="s">
        <v>61</v>
      </c>
      <c r="C150" t="s">
        <v>261</v>
      </c>
    </row>
    <row r="151" spans="1:4" x14ac:dyDescent="0.25">
      <c r="B151" s="20" t="s">
        <v>283</v>
      </c>
    </row>
    <row r="153" spans="1:4" x14ac:dyDescent="0.25">
      <c r="C153" s="18" t="s">
        <v>160</v>
      </c>
    </row>
    <row r="154" spans="1:4" x14ac:dyDescent="0.25">
      <c r="B154" t="s">
        <v>287</v>
      </c>
      <c r="C154" t="s">
        <v>161</v>
      </c>
      <c r="D154" t="s">
        <v>171</v>
      </c>
    </row>
    <row r="155" spans="1:4" x14ac:dyDescent="0.25">
      <c r="B155" t="s">
        <v>288</v>
      </c>
      <c r="C155" t="s">
        <v>108</v>
      </c>
      <c r="D155" t="s">
        <v>170</v>
      </c>
    </row>
    <row r="156" spans="1:4" x14ac:dyDescent="0.25">
      <c r="B156" s="20" t="s">
        <v>61</v>
      </c>
      <c r="C156" t="s">
        <v>109</v>
      </c>
      <c r="D156" t="s">
        <v>172</v>
      </c>
    </row>
    <row r="157" spans="1:4" x14ac:dyDescent="0.25">
      <c r="B157" s="20" t="s">
        <v>289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44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44" sqref="B44"/>
    </sheetView>
  </sheetViews>
  <sheetFormatPr defaultRowHeight="15" x14ac:dyDescent="0.25"/>
  <cols>
    <col min="1" max="1" width="12.85546875" customWidth="1"/>
    <col min="2" max="2" width="10" bestFit="1" customWidth="1"/>
    <col min="5" max="5" width="13.5703125" bestFit="1" customWidth="1"/>
    <col min="6" max="6" width="12" bestFit="1" customWidth="1"/>
    <col min="7" max="7" width="12.140625" customWidth="1"/>
    <col min="13" max="13" width="12.140625" bestFit="1" customWidth="1"/>
    <col min="16" max="16" width="13.140625" customWidth="1"/>
  </cols>
  <sheetData>
    <row r="1" spans="1:39" ht="15.75" thickBot="1" x14ac:dyDescent="0.3">
      <c r="A1" t="s">
        <v>179</v>
      </c>
      <c r="G1">
        <v>2</v>
      </c>
      <c r="H1">
        <v>3</v>
      </c>
      <c r="I1">
        <v>4</v>
      </c>
      <c r="J1">
        <v>5</v>
      </c>
      <c r="K1">
        <v>6</v>
      </c>
      <c r="L1">
        <v>7</v>
      </c>
      <c r="M1">
        <v>8</v>
      </c>
    </row>
    <row r="2" spans="1:39" ht="15.75" thickBot="1" x14ac:dyDescent="0.3">
      <c r="A2" s="27" t="s">
        <v>158</v>
      </c>
      <c r="B2" s="14" t="s">
        <v>31</v>
      </c>
      <c r="C2" s="14" t="s">
        <v>151</v>
      </c>
      <c r="D2" s="14" t="s">
        <v>203</v>
      </c>
      <c r="E2" s="46" t="s">
        <v>159</v>
      </c>
      <c r="F2" s="48" t="s">
        <v>157</v>
      </c>
      <c r="G2" s="30" t="s">
        <v>25</v>
      </c>
      <c r="H2" s="30" t="s">
        <v>24</v>
      </c>
      <c r="I2" s="30" t="s">
        <v>23</v>
      </c>
      <c r="J2" s="30" t="s">
        <v>28</v>
      </c>
      <c r="K2" s="30" t="s">
        <v>27</v>
      </c>
      <c r="L2" s="30" t="s">
        <v>26</v>
      </c>
      <c r="M2" s="28" t="s">
        <v>33</v>
      </c>
      <c r="O2" s="39" t="s">
        <v>32</v>
      </c>
      <c r="P2" s="40" t="s">
        <v>25</v>
      </c>
      <c r="Q2" s="40" t="s">
        <v>24</v>
      </c>
      <c r="R2" s="40" t="s">
        <v>23</v>
      </c>
      <c r="S2" s="40" t="s">
        <v>28</v>
      </c>
      <c r="T2" s="40" t="s">
        <v>27</v>
      </c>
      <c r="U2" s="40" t="s">
        <v>26</v>
      </c>
      <c r="V2" s="41" t="s">
        <v>33</v>
      </c>
      <c r="Z2" t="s">
        <v>32</v>
      </c>
      <c r="AA2" t="s">
        <v>25</v>
      </c>
      <c r="AB2" t="s">
        <v>24</v>
      </c>
      <c r="AC2" t="s">
        <v>23</v>
      </c>
      <c r="AD2" t="s">
        <v>28</v>
      </c>
      <c r="AE2" t="s">
        <v>27</v>
      </c>
      <c r="AF2" t="s">
        <v>26</v>
      </c>
      <c r="AG2" t="s">
        <v>33</v>
      </c>
      <c r="AJ2" s="46" t="s">
        <v>159</v>
      </c>
      <c r="AK2" s="48" t="s">
        <v>157</v>
      </c>
      <c r="AL2" t="s">
        <v>278</v>
      </c>
      <c r="AM2" t="s">
        <v>279</v>
      </c>
    </row>
    <row r="3" spans="1:39" x14ac:dyDescent="0.25">
      <c r="A3" s="44" t="str">
        <f>"("&amp;B3&amp;")"</f>
        <v>(1)</v>
      </c>
      <c r="B3" s="26">
        <v>1</v>
      </c>
      <c r="C3" s="26">
        <v>1</v>
      </c>
      <c r="D3" s="26">
        <v>1</v>
      </c>
      <c r="E3" s="42">
        <v>3400</v>
      </c>
      <c r="F3" s="47">
        <v>12</v>
      </c>
      <c r="G3" s="31">
        <f t="shared" ref="G3:M12" si="0">VLOOKUP($E3,IR_SensorCoeffs,G$1,FALSE)</f>
        <v>1336310000</v>
      </c>
      <c r="H3" s="31">
        <f t="shared" si="0"/>
        <v>7096880</v>
      </c>
      <c r="I3" s="31">
        <f t="shared" si="0"/>
        <v>75223.899999999994</v>
      </c>
      <c r="J3" s="31">
        <f t="shared" si="0"/>
        <v>-2761200</v>
      </c>
      <c r="K3" s="31">
        <f t="shared" si="0"/>
        <v>-14756.1</v>
      </c>
      <c r="L3" s="31">
        <f t="shared" si="0"/>
        <v>14805.4</v>
      </c>
      <c r="M3" s="32">
        <f t="shared" si="0"/>
        <v>20</v>
      </c>
      <c r="O3" s="33">
        <v>3379</v>
      </c>
      <c r="P3" s="34">
        <v>1321320000</v>
      </c>
      <c r="Q3" s="34">
        <v>6942310</v>
      </c>
      <c r="R3" s="34">
        <v>77904.100000000006</v>
      </c>
      <c r="S3" s="34">
        <v>-9474180</v>
      </c>
      <c r="T3" s="34">
        <v>85649.1</v>
      </c>
      <c r="U3" s="34">
        <v>12783</v>
      </c>
      <c r="V3" s="35">
        <v>30</v>
      </c>
      <c r="Z3">
        <v>3379</v>
      </c>
      <c r="AA3">
        <v>1321320000</v>
      </c>
      <c r="AB3">
        <v>6942310</v>
      </c>
      <c r="AC3">
        <v>77904.100000000006</v>
      </c>
      <c r="AD3">
        <v>-9474180</v>
      </c>
      <c r="AE3">
        <v>85649.1</v>
      </c>
      <c r="AF3">
        <v>12783</v>
      </c>
      <c r="AG3">
        <v>30</v>
      </c>
      <c r="AJ3" s="42">
        <v>3400</v>
      </c>
      <c r="AK3" s="47">
        <v>12</v>
      </c>
      <c r="AL3">
        <v>1</v>
      </c>
      <c r="AM3">
        <v>1</v>
      </c>
    </row>
    <row r="4" spans="1:39" x14ac:dyDescent="0.25">
      <c r="A4" s="44" t="str">
        <f t="shared" ref="A4:A26" si="1">"("&amp;B4&amp;")"</f>
        <v>(2)</v>
      </c>
      <c r="B4" s="26">
        <v>2</v>
      </c>
      <c r="C4" s="26">
        <v>1</v>
      </c>
      <c r="D4" s="26">
        <v>2</v>
      </c>
      <c r="E4" s="42">
        <v>3401</v>
      </c>
      <c r="F4" s="47">
        <v>17</v>
      </c>
      <c r="G4" s="4">
        <f t="shared" si="0"/>
        <v>1376890000</v>
      </c>
      <c r="H4" s="4">
        <f t="shared" si="0"/>
        <v>7239770</v>
      </c>
      <c r="I4" s="4">
        <f t="shared" si="0"/>
        <v>72395.199999999997</v>
      </c>
      <c r="J4" s="4">
        <f t="shared" si="0"/>
        <v>-5217560</v>
      </c>
      <c r="K4" s="4">
        <f t="shared" si="0"/>
        <v>-45019.4</v>
      </c>
      <c r="L4" s="4">
        <f t="shared" si="0"/>
        <v>15545.3</v>
      </c>
      <c r="M4" s="11">
        <f t="shared" si="0"/>
        <v>20</v>
      </c>
      <c r="O4" s="33">
        <v>3380</v>
      </c>
      <c r="P4" s="34">
        <v>1395890000</v>
      </c>
      <c r="Q4" s="34">
        <v>7277220</v>
      </c>
      <c r="R4" s="34">
        <v>75992</v>
      </c>
      <c r="S4" s="34">
        <v>-2662950</v>
      </c>
      <c r="T4" s="34">
        <v>-9950.6299999999992</v>
      </c>
      <c r="U4" s="34">
        <v>13555.7</v>
      </c>
      <c r="V4" s="35">
        <v>30</v>
      </c>
      <c r="Z4">
        <v>3380</v>
      </c>
      <c r="AA4">
        <v>1395890000</v>
      </c>
      <c r="AB4">
        <v>7277220</v>
      </c>
      <c r="AC4">
        <v>75992</v>
      </c>
      <c r="AD4">
        <v>-2662950</v>
      </c>
      <c r="AE4">
        <v>-9950.6299999999992</v>
      </c>
      <c r="AF4">
        <v>13555.7</v>
      </c>
      <c r="AG4">
        <v>30</v>
      </c>
      <c r="AJ4" s="42">
        <v>3401</v>
      </c>
      <c r="AK4" s="47">
        <v>17</v>
      </c>
      <c r="AL4">
        <v>1</v>
      </c>
      <c r="AM4">
        <v>2</v>
      </c>
    </row>
    <row r="5" spans="1:39" x14ac:dyDescent="0.25">
      <c r="A5" s="44" t="str">
        <f t="shared" si="1"/>
        <v>(3)</v>
      </c>
      <c r="B5" s="26">
        <v>3</v>
      </c>
      <c r="C5" s="26">
        <v>1</v>
      </c>
      <c r="D5" s="26">
        <v>3</v>
      </c>
      <c r="E5" s="42">
        <v>3402</v>
      </c>
      <c r="F5" s="47">
        <v>8</v>
      </c>
      <c r="G5" s="4">
        <f t="shared" si="0"/>
        <v>1392520000</v>
      </c>
      <c r="H5" s="4">
        <f t="shared" si="0"/>
        <v>7230830</v>
      </c>
      <c r="I5" s="4">
        <f t="shared" si="0"/>
        <v>75298.8</v>
      </c>
      <c r="J5" s="4">
        <f t="shared" si="0"/>
        <v>-2209980</v>
      </c>
      <c r="K5" s="4">
        <f t="shared" si="0"/>
        <v>-62020</v>
      </c>
      <c r="L5" s="4">
        <f t="shared" si="0"/>
        <v>14222.2</v>
      </c>
      <c r="M5" s="11">
        <f t="shared" si="0"/>
        <v>20</v>
      </c>
      <c r="O5" s="33">
        <v>3381</v>
      </c>
      <c r="P5" s="34">
        <v>1340100000</v>
      </c>
      <c r="Q5" s="34">
        <v>6959910</v>
      </c>
      <c r="R5" s="34">
        <v>74279.899999999994</v>
      </c>
      <c r="S5" s="34">
        <v>-683085</v>
      </c>
      <c r="T5" s="34">
        <v>70789.2</v>
      </c>
      <c r="U5" s="34">
        <v>13195.5</v>
      </c>
      <c r="V5" s="35">
        <v>30</v>
      </c>
      <c r="Z5">
        <v>3381</v>
      </c>
      <c r="AA5">
        <v>1340100000</v>
      </c>
      <c r="AB5">
        <v>6959910</v>
      </c>
      <c r="AC5">
        <v>74279.899999999994</v>
      </c>
      <c r="AD5">
        <v>-683085</v>
      </c>
      <c r="AE5">
        <v>70789.2</v>
      </c>
      <c r="AF5">
        <v>13195.5</v>
      </c>
      <c r="AG5">
        <v>30</v>
      </c>
      <c r="AJ5" s="42">
        <v>3402</v>
      </c>
      <c r="AK5" s="47">
        <v>8</v>
      </c>
      <c r="AL5">
        <v>1</v>
      </c>
      <c r="AM5">
        <v>3</v>
      </c>
    </row>
    <row r="6" spans="1:39" x14ac:dyDescent="0.25">
      <c r="A6" s="44" t="str">
        <f t="shared" si="1"/>
        <v>(4)</v>
      </c>
      <c r="B6" s="26">
        <v>4</v>
      </c>
      <c r="C6" s="26">
        <v>1</v>
      </c>
      <c r="D6" s="26">
        <v>4</v>
      </c>
      <c r="E6" s="42">
        <v>3399</v>
      </c>
      <c r="F6" s="47">
        <v>7</v>
      </c>
      <c r="G6" s="4">
        <f t="shared" si="0"/>
        <v>1341860000</v>
      </c>
      <c r="H6" s="4">
        <f t="shared" si="0"/>
        <v>7045270</v>
      </c>
      <c r="I6" s="4">
        <f t="shared" si="0"/>
        <v>73401.399999999994</v>
      </c>
      <c r="J6" s="4">
        <f t="shared" si="0"/>
        <v>647879</v>
      </c>
      <c r="K6" s="4">
        <f t="shared" si="0"/>
        <v>24049.599999999999</v>
      </c>
      <c r="L6" s="4">
        <f t="shared" si="0"/>
        <v>14900.8</v>
      </c>
      <c r="M6" s="11">
        <f t="shared" si="0"/>
        <v>20</v>
      </c>
      <c r="O6" s="33">
        <v>3382</v>
      </c>
      <c r="P6" s="34">
        <v>1332630000</v>
      </c>
      <c r="Q6" s="34">
        <v>7031600</v>
      </c>
      <c r="R6" s="34">
        <v>73620.100000000006</v>
      </c>
      <c r="S6" s="34">
        <v>-1572190</v>
      </c>
      <c r="T6" s="34">
        <v>37528.5</v>
      </c>
      <c r="U6" s="34">
        <v>12417.8</v>
      </c>
      <c r="V6" s="35">
        <v>30</v>
      </c>
      <c r="Z6">
        <v>3382</v>
      </c>
      <c r="AA6">
        <v>1332630000</v>
      </c>
      <c r="AB6">
        <v>7031600</v>
      </c>
      <c r="AC6">
        <v>73620.100000000006</v>
      </c>
      <c r="AD6">
        <v>-1572190</v>
      </c>
      <c r="AE6">
        <v>37528.5</v>
      </c>
      <c r="AF6">
        <v>12417.8</v>
      </c>
      <c r="AG6">
        <v>30</v>
      </c>
      <c r="AJ6" s="42">
        <v>3399</v>
      </c>
      <c r="AK6" s="47">
        <v>7</v>
      </c>
      <c r="AL6">
        <v>1</v>
      </c>
      <c r="AM6">
        <v>4</v>
      </c>
    </row>
    <row r="7" spans="1:39" x14ac:dyDescent="0.25">
      <c r="A7" s="44" t="str">
        <f t="shared" si="1"/>
        <v>(5)</v>
      </c>
      <c r="B7" s="26">
        <v>5</v>
      </c>
      <c r="C7" s="26">
        <v>1</v>
      </c>
      <c r="D7" s="26">
        <v>5</v>
      </c>
      <c r="E7" s="42">
        <v>3385</v>
      </c>
      <c r="F7" s="47">
        <v>1</v>
      </c>
      <c r="G7" s="4">
        <f t="shared" si="0"/>
        <v>1386130000</v>
      </c>
      <c r="H7" s="4">
        <f t="shared" si="0"/>
        <v>7242140</v>
      </c>
      <c r="I7" s="4">
        <f t="shared" si="0"/>
        <v>70955</v>
      </c>
      <c r="J7" s="4">
        <f t="shared" si="0"/>
        <v>-2918440</v>
      </c>
      <c r="K7" s="4">
        <f t="shared" si="0"/>
        <v>-11589.2</v>
      </c>
      <c r="L7" s="4">
        <f t="shared" si="0"/>
        <v>14149.3</v>
      </c>
      <c r="M7" s="11">
        <f t="shared" si="0"/>
        <v>30</v>
      </c>
      <c r="O7" s="33">
        <v>3383</v>
      </c>
      <c r="P7" s="34">
        <v>1414580000</v>
      </c>
      <c r="Q7" s="34">
        <v>7496330</v>
      </c>
      <c r="R7" s="34">
        <v>79768.7</v>
      </c>
      <c r="S7" s="34">
        <v>-4488640</v>
      </c>
      <c r="T7" s="34">
        <v>127752</v>
      </c>
      <c r="U7" s="34">
        <v>14089.7</v>
      </c>
      <c r="V7" s="35">
        <v>30</v>
      </c>
      <c r="Z7">
        <v>3383</v>
      </c>
      <c r="AA7">
        <v>1414580000</v>
      </c>
      <c r="AB7">
        <v>7496330</v>
      </c>
      <c r="AC7">
        <v>79768.7</v>
      </c>
      <c r="AD7">
        <v>-4488640</v>
      </c>
      <c r="AE7">
        <v>127752</v>
      </c>
      <c r="AF7">
        <v>14089.7</v>
      </c>
      <c r="AG7">
        <v>30</v>
      </c>
      <c r="AJ7" s="42">
        <v>3385</v>
      </c>
      <c r="AK7" s="47">
        <v>1</v>
      </c>
      <c r="AL7">
        <v>1</v>
      </c>
      <c r="AM7">
        <v>5</v>
      </c>
    </row>
    <row r="8" spans="1:39" x14ac:dyDescent="0.25">
      <c r="A8" s="44" t="str">
        <f t="shared" si="1"/>
        <v>(6)</v>
      </c>
      <c r="B8" s="26">
        <v>6</v>
      </c>
      <c r="C8" s="26">
        <v>1</v>
      </c>
      <c r="D8" s="26">
        <v>6</v>
      </c>
      <c r="E8" s="42">
        <v>3386</v>
      </c>
      <c r="F8" s="47">
        <v>6</v>
      </c>
      <c r="G8" s="4">
        <f t="shared" si="0"/>
        <v>1368500000</v>
      </c>
      <c r="H8" s="4">
        <f t="shared" si="0"/>
        <v>7282460</v>
      </c>
      <c r="I8" s="4">
        <f t="shared" si="0"/>
        <v>75238.7</v>
      </c>
      <c r="J8" s="4">
        <f t="shared" si="0"/>
        <v>-5148230</v>
      </c>
      <c r="K8" s="4">
        <f t="shared" si="0"/>
        <v>94378.8</v>
      </c>
      <c r="L8" s="4">
        <f t="shared" si="0"/>
        <v>14931.7</v>
      </c>
      <c r="M8" s="11">
        <f t="shared" si="0"/>
        <v>30</v>
      </c>
      <c r="O8" s="33">
        <v>3384</v>
      </c>
      <c r="P8" s="34">
        <v>1432430000</v>
      </c>
      <c r="Q8" s="34">
        <v>7402560</v>
      </c>
      <c r="R8" s="34">
        <v>79259.3</v>
      </c>
      <c r="S8" s="34">
        <v>-6857680</v>
      </c>
      <c r="T8" s="34">
        <v>133432</v>
      </c>
      <c r="U8" s="34">
        <v>13799.7</v>
      </c>
      <c r="V8" s="35">
        <v>30</v>
      </c>
      <c r="Z8">
        <v>3384</v>
      </c>
      <c r="AA8">
        <v>1432430000</v>
      </c>
      <c r="AB8">
        <v>7402560</v>
      </c>
      <c r="AC8">
        <v>79259.3</v>
      </c>
      <c r="AD8">
        <v>-6857680</v>
      </c>
      <c r="AE8">
        <v>133432</v>
      </c>
      <c r="AF8">
        <v>13799.7</v>
      </c>
      <c r="AG8">
        <v>30</v>
      </c>
      <c r="AJ8" s="42">
        <v>3386</v>
      </c>
      <c r="AK8" s="47">
        <v>6</v>
      </c>
      <c r="AL8">
        <v>1</v>
      </c>
      <c r="AM8">
        <v>6</v>
      </c>
    </row>
    <row r="9" spans="1:39" x14ac:dyDescent="0.25">
      <c r="A9" s="44" t="str">
        <f t="shared" si="1"/>
        <v>(7)</v>
      </c>
      <c r="B9" s="26">
        <v>7</v>
      </c>
      <c r="C9" s="26">
        <v>1</v>
      </c>
      <c r="D9" s="26">
        <v>7</v>
      </c>
      <c r="E9" s="42">
        <v>3388</v>
      </c>
      <c r="F9" s="47">
        <v>5</v>
      </c>
      <c r="G9" s="4">
        <f t="shared" si="0"/>
        <v>1371730000</v>
      </c>
      <c r="H9" s="4">
        <f t="shared" si="0"/>
        <v>7058920</v>
      </c>
      <c r="I9" s="4">
        <f t="shared" si="0"/>
        <v>76906</v>
      </c>
      <c r="J9" s="4">
        <f t="shared" si="0"/>
        <v>-6107980</v>
      </c>
      <c r="K9" s="4">
        <f t="shared" si="0"/>
        <v>-35518.400000000001</v>
      </c>
      <c r="L9" s="4">
        <f t="shared" si="0"/>
        <v>14153.7</v>
      </c>
      <c r="M9" s="11">
        <f t="shared" si="0"/>
        <v>30</v>
      </c>
      <c r="O9" s="33">
        <v>3385</v>
      </c>
      <c r="P9" s="34">
        <v>1386130000</v>
      </c>
      <c r="Q9" s="34">
        <v>7242140</v>
      </c>
      <c r="R9" s="34">
        <v>70955</v>
      </c>
      <c r="S9" s="34">
        <v>-2918440</v>
      </c>
      <c r="T9" s="34">
        <v>-11589.2</v>
      </c>
      <c r="U9" s="34">
        <v>14149.3</v>
      </c>
      <c r="V9" s="35">
        <v>30</v>
      </c>
      <c r="Z9">
        <v>3385</v>
      </c>
      <c r="AA9">
        <v>1386130000</v>
      </c>
      <c r="AB9">
        <v>7242140</v>
      </c>
      <c r="AC9">
        <v>70955</v>
      </c>
      <c r="AD9">
        <v>-2918440</v>
      </c>
      <c r="AE9">
        <v>-11589.2</v>
      </c>
      <c r="AF9">
        <v>14149.3</v>
      </c>
      <c r="AG9">
        <v>30</v>
      </c>
      <c r="AJ9" s="42">
        <v>3388</v>
      </c>
      <c r="AK9" s="47">
        <v>5</v>
      </c>
      <c r="AL9">
        <v>1</v>
      </c>
      <c r="AM9">
        <v>7</v>
      </c>
    </row>
    <row r="10" spans="1:39" x14ac:dyDescent="0.25">
      <c r="A10" s="44" t="str">
        <f t="shared" si="1"/>
        <v>(8)</v>
      </c>
      <c r="B10" s="26">
        <v>8</v>
      </c>
      <c r="C10" s="26">
        <v>1</v>
      </c>
      <c r="D10" s="26">
        <v>8</v>
      </c>
      <c r="E10" s="42">
        <v>3398</v>
      </c>
      <c r="F10" s="47">
        <v>11</v>
      </c>
      <c r="G10" s="4">
        <f t="shared" si="0"/>
        <v>1434740000</v>
      </c>
      <c r="H10" s="4">
        <f t="shared" si="0"/>
        <v>7449330</v>
      </c>
      <c r="I10" s="4">
        <f t="shared" si="0"/>
        <v>73361.899999999994</v>
      </c>
      <c r="J10" s="4">
        <f t="shared" si="0"/>
        <v>-3427590</v>
      </c>
      <c r="K10" s="4">
        <f t="shared" si="0"/>
        <v>28290.2</v>
      </c>
      <c r="L10" s="4">
        <f t="shared" si="0"/>
        <v>15814.1</v>
      </c>
      <c r="M10" s="11">
        <f t="shared" si="0"/>
        <v>20</v>
      </c>
      <c r="O10" s="33">
        <v>3386</v>
      </c>
      <c r="P10" s="34">
        <v>1368500000</v>
      </c>
      <c r="Q10" s="34">
        <v>7282460</v>
      </c>
      <c r="R10" s="34">
        <v>75238.7</v>
      </c>
      <c r="S10" s="34">
        <v>-5148230</v>
      </c>
      <c r="T10" s="34">
        <v>94378.8</v>
      </c>
      <c r="U10" s="34">
        <v>14931.7</v>
      </c>
      <c r="V10" s="35">
        <v>30</v>
      </c>
      <c r="Z10">
        <v>3386</v>
      </c>
      <c r="AA10">
        <v>1368500000</v>
      </c>
      <c r="AB10">
        <v>7282460</v>
      </c>
      <c r="AC10">
        <v>75238.7</v>
      </c>
      <c r="AD10">
        <v>-5148230</v>
      </c>
      <c r="AE10">
        <v>94378.8</v>
      </c>
      <c r="AF10">
        <v>14931.7</v>
      </c>
      <c r="AG10">
        <v>30</v>
      </c>
      <c r="AJ10" s="42">
        <v>3398</v>
      </c>
      <c r="AK10" s="47">
        <v>11</v>
      </c>
      <c r="AL10">
        <v>1</v>
      </c>
      <c r="AM10">
        <v>8</v>
      </c>
    </row>
    <row r="11" spans="1:39" x14ac:dyDescent="0.25">
      <c r="A11" s="44" t="str">
        <f t="shared" si="1"/>
        <v>(9)</v>
      </c>
      <c r="B11" s="26">
        <v>9</v>
      </c>
      <c r="C11" s="26">
        <v>1</v>
      </c>
      <c r="D11" s="26">
        <v>9</v>
      </c>
      <c r="E11" s="42">
        <v>3396</v>
      </c>
      <c r="F11" s="47">
        <v>18</v>
      </c>
      <c r="G11" s="4">
        <f t="shared" si="0"/>
        <v>1367620000</v>
      </c>
      <c r="H11" s="4">
        <f t="shared" si="0"/>
        <v>7237750</v>
      </c>
      <c r="I11" s="4">
        <f t="shared" si="0"/>
        <v>71645.899999999994</v>
      </c>
      <c r="J11" s="4">
        <f t="shared" si="0"/>
        <v>-5766930</v>
      </c>
      <c r="K11" s="4">
        <f t="shared" si="0"/>
        <v>-21127.4</v>
      </c>
      <c r="L11" s="4">
        <f t="shared" si="0"/>
        <v>14807.4</v>
      </c>
      <c r="M11" s="11">
        <f t="shared" si="0"/>
        <v>20</v>
      </c>
      <c r="O11" s="33">
        <v>3387</v>
      </c>
      <c r="P11" s="34">
        <v>1321880000</v>
      </c>
      <c r="Q11" s="34">
        <v>6953780</v>
      </c>
      <c r="R11" s="34">
        <v>75548.899999999994</v>
      </c>
      <c r="S11" s="34">
        <v>-7079850</v>
      </c>
      <c r="T11" s="34">
        <v>128729</v>
      </c>
      <c r="U11" s="34">
        <v>13473.3</v>
      </c>
      <c r="V11" s="35">
        <v>30</v>
      </c>
      <c r="Z11">
        <v>3387</v>
      </c>
      <c r="AA11">
        <v>1321880000</v>
      </c>
      <c r="AB11">
        <v>6953780</v>
      </c>
      <c r="AC11">
        <v>75548.899999999994</v>
      </c>
      <c r="AD11">
        <v>-7079850</v>
      </c>
      <c r="AE11">
        <v>128729</v>
      </c>
      <c r="AF11">
        <v>13473.3</v>
      </c>
      <c r="AG11">
        <v>30</v>
      </c>
      <c r="AJ11" s="42">
        <v>3396</v>
      </c>
      <c r="AK11" s="47">
        <v>18</v>
      </c>
      <c r="AL11">
        <v>1</v>
      </c>
      <c r="AM11">
        <v>9</v>
      </c>
    </row>
    <row r="12" spans="1:39" x14ac:dyDescent="0.25">
      <c r="A12" s="44" t="str">
        <f t="shared" si="1"/>
        <v>(10)</v>
      </c>
      <c r="B12" s="26">
        <v>10</v>
      </c>
      <c r="C12" s="26">
        <v>1</v>
      </c>
      <c r="D12" s="26">
        <v>10</v>
      </c>
      <c r="E12" s="42">
        <v>3392</v>
      </c>
      <c r="F12" s="47">
        <v>13</v>
      </c>
      <c r="G12" s="4">
        <f t="shared" si="0"/>
        <v>1339840000</v>
      </c>
      <c r="H12" s="4">
        <f t="shared" si="0"/>
        <v>7046660</v>
      </c>
      <c r="I12" s="4">
        <f t="shared" si="0"/>
        <v>74491.8</v>
      </c>
      <c r="J12" s="4">
        <f t="shared" si="0"/>
        <v>-5004960</v>
      </c>
      <c r="K12" s="4">
        <f t="shared" si="0"/>
        <v>57560.6</v>
      </c>
      <c r="L12" s="4">
        <f t="shared" si="0"/>
        <v>13317.6</v>
      </c>
      <c r="M12" s="11">
        <f t="shared" si="0"/>
        <v>20</v>
      </c>
      <c r="O12" s="33">
        <v>3388</v>
      </c>
      <c r="P12" s="34">
        <v>1371730000</v>
      </c>
      <c r="Q12" s="34">
        <v>7058920</v>
      </c>
      <c r="R12" s="34">
        <v>76906</v>
      </c>
      <c r="S12" s="34">
        <v>-6107980</v>
      </c>
      <c r="T12" s="34">
        <v>-35518.400000000001</v>
      </c>
      <c r="U12" s="34">
        <v>14153.7</v>
      </c>
      <c r="V12" s="35">
        <v>30</v>
      </c>
      <c r="Z12">
        <v>3388</v>
      </c>
      <c r="AA12">
        <v>1371730000</v>
      </c>
      <c r="AB12">
        <v>7058920</v>
      </c>
      <c r="AC12">
        <v>76906</v>
      </c>
      <c r="AD12">
        <v>-6107980</v>
      </c>
      <c r="AE12">
        <v>-35518.400000000001</v>
      </c>
      <c r="AF12">
        <v>14153.7</v>
      </c>
      <c r="AG12">
        <v>30</v>
      </c>
      <c r="AJ12" s="42">
        <v>3392</v>
      </c>
      <c r="AK12" s="47">
        <v>13</v>
      </c>
      <c r="AL12">
        <v>1</v>
      </c>
      <c r="AM12">
        <v>10</v>
      </c>
    </row>
    <row r="13" spans="1:39" x14ac:dyDescent="0.25">
      <c r="A13" s="44" t="str">
        <f t="shared" si="1"/>
        <v>(11)</v>
      </c>
      <c r="B13" s="26">
        <v>11</v>
      </c>
      <c r="C13" s="26">
        <v>1</v>
      </c>
      <c r="D13" s="26">
        <v>11</v>
      </c>
      <c r="E13" s="42">
        <v>3394</v>
      </c>
      <c r="F13" s="47">
        <v>14</v>
      </c>
      <c r="G13" s="4">
        <f t="shared" ref="G13:M26" si="2">VLOOKUP($E13,IR_SensorCoeffs,G$1,FALSE)</f>
        <v>1737340000</v>
      </c>
      <c r="H13" s="4">
        <f t="shared" si="2"/>
        <v>9126780</v>
      </c>
      <c r="I13" s="4">
        <f t="shared" si="2"/>
        <v>95247.2</v>
      </c>
      <c r="J13" s="4">
        <f t="shared" si="2"/>
        <v>-18151800</v>
      </c>
      <c r="K13" s="4">
        <f t="shared" si="2"/>
        <v>888.14499999999998</v>
      </c>
      <c r="L13" s="4">
        <f t="shared" si="2"/>
        <v>15603.9</v>
      </c>
      <c r="M13" s="11">
        <f t="shared" si="2"/>
        <v>20</v>
      </c>
      <c r="O13" s="33">
        <v>3389</v>
      </c>
      <c r="P13" s="34">
        <v>1373910000</v>
      </c>
      <c r="Q13" s="34">
        <v>7204930</v>
      </c>
      <c r="R13" s="34">
        <v>71235.399999999994</v>
      </c>
      <c r="S13" s="34">
        <v>2801350</v>
      </c>
      <c r="T13" s="34">
        <v>-42316.6</v>
      </c>
      <c r="U13" s="34">
        <v>14731.4</v>
      </c>
      <c r="V13" s="35">
        <v>30</v>
      </c>
      <c r="Z13">
        <v>3389</v>
      </c>
      <c r="AA13">
        <v>1373910000</v>
      </c>
      <c r="AB13">
        <v>7204930</v>
      </c>
      <c r="AC13">
        <v>71235.399999999994</v>
      </c>
      <c r="AD13">
        <v>2801350</v>
      </c>
      <c r="AE13">
        <v>-42316.6</v>
      </c>
      <c r="AF13">
        <v>14731.4</v>
      </c>
      <c r="AG13">
        <v>30</v>
      </c>
      <c r="AJ13" s="42">
        <v>3394</v>
      </c>
      <c r="AK13" s="47">
        <v>14</v>
      </c>
      <c r="AL13">
        <v>1</v>
      </c>
      <c r="AM13">
        <v>11</v>
      </c>
    </row>
    <row r="14" spans="1:39" x14ac:dyDescent="0.25">
      <c r="A14" s="44" t="str">
        <f t="shared" si="1"/>
        <v>(12)</v>
      </c>
      <c r="B14" s="26">
        <v>12</v>
      </c>
      <c r="C14" s="26">
        <v>1</v>
      </c>
      <c r="D14" s="26">
        <v>12</v>
      </c>
      <c r="E14" s="42">
        <v>3393</v>
      </c>
      <c r="F14" s="47">
        <v>10</v>
      </c>
      <c r="G14" s="4">
        <f t="shared" si="2"/>
        <v>1331080000</v>
      </c>
      <c r="H14" s="4">
        <f t="shared" si="2"/>
        <v>6996190</v>
      </c>
      <c r="I14" s="4">
        <f t="shared" si="2"/>
        <v>72127.399999999994</v>
      </c>
      <c r="J14" s="4">
        <f t="shared" si="2"/>
        <v>-8744260</v>
      </c>
      <c r="K14" s="4">
        <f t="shared" si="2"/>
        <v>-40772.5</v>
      </c>
      <c r="L14" s="4">
        <f t="shared" si="2"/>
        <v>14361</v>
      </c>
      <c r="M14" s="11">
        <f t="shared" si="2"/>
        <v>20</v>
      </c>
      <c r="O14" s="33">
        <v>3390</v>
      </c>
      <c r="P14" s="34">
        <v>1410870000</v>
      </c>
      <c r="Q14" s="34">
        <v>7449540</v>
      </c>
      <c r="R14" s="34">
        <v>77553.2</v>
      </c>
      <c r="S14" s="34">
        <v>-4211160</v>
      </c>
      <c r="T14" s="34">
        <v>16325.6</v>
      </c>
      <c r="U14" s="34">
        <v>12858.8</v>
      </c>
      <c r="V14" s="35">
        <v>30</v>
      </c>
      <c r="Z14">
        <v>3390</v>
      </c>
      <c r="AA14">
        <v>1410870000</v>
      </c>
      <c r="AB14">
        <v>7449540</v>
      </c>
      <c r="AC14">
        <v>77553.2</v>
      </c>
      <c r="AD14">
        <v>-4211160</v>
      </c>
      <c r="AE14">
        <v>16325.6</v>
      </c>
      <c r="AF14">
        <v>12858.8</v>
      </c>
      <c r="AG14">
        <v>30</v>
      </c>
      <c r="AJ14" s="42">
        <v>3393</v>
      </c>
      <c r="AK14" s="47">
        <v>10</v>
      </c>
      <c r="AL14">
        <v>1</v>
      </c>
      <c r="AM14">
        <v>12</v>
      </c>
    </row>
    <row r="15" spans="1:39" x14ac:dyDescent="0.25">
      <c r="A15" s="44" t="str">
        <f t="shared" si="1"/>
        <v>(13)</v>
      </c>
      <c r="B15" s="26">
        <v>13</v>
      </c>
      <c r="C15" s="26">
        <v>1</v>
      </c>
      <c r="D15" s="26">
        <v>13</v>
      </c>
      <c r="E15" s="42">
        <v>3380</v>
      </c>
      <c r="F15" s="47">
        <v>4</v>
      </c>
      <c r="G15" s="4">
        <f t="shared" si="2"/>
        <v>1395890000</v>
      </c>
      <c r="H15" s="4">
        <f t="shared" si="2"/>
        <v>7277220</v>
      </c>
      <c r="I15" s="4">
        <f t="shared" si="2"/>
        <v>75992</v>
      </c>
      <c r="J15" s="4">
        <f t="shared" si="2"/>
        <v>-2662950</v>
      </c>
      <c r="K15" s="4">
        <f t="shared" si="2"/>
        <v>-9950.6299999999992</v>
      </c>
      <c r="L15" s="4">
        <f t="shared" si="2"/>
        <v>13555.7</v>
      </c>
      <c r="M15" s="11">
        <f t="shared" si="2"/>
        <v>30</v>
      </c>
      <c r="O15" s="33">
        <v>3391</v>
      </c>
      <c r="P15" s="34">
        <v>1432990000</v>
      </c>
      <c r="Q15" s="34">
        <v>7521750</v>
      </c>
      <c r="R15" s="34">
        <v>78210.100000000006</v>
      </c>
      <c r="S15" s="34">
        <v>-3974070</v>
      </c>
      <c r="T15" s="34">
        <v>3509.1</v>
      </c>
      <c r="U15" s="34">
        <v>13660.6</v>
      </c>
      <c r="V15" s="35">
        <v>20</v>
      </c>
      <c r="Z15">
        <v>3391</v>
      </c>
      <c r="AA15">
        <v>1432990000</v>
      </c>
      <c r="AB15">
        <v>7521750</v>
      </c>
      <c r="AC15">
        <v>78210.100000000006</v>
      </c>
      <c r="AD15">
        <v>-3974070</v>
      </c>
      <c r="AE15">
        <v>3509.1</v>
      </c>
      <c r="AF15">
        <v>13660.6</v>
      </c>
      <c r="AG15">
        <v>20</v>
      </c>
      <c r="AJ15" s="42">
        <v>3380</v>
      </c>
      <c r="AK15" s="47">
        <v>4</v>
      </c>
      <c r="AL15">
        <v>1</v>
      </c>
      <c r="AM15">
        <v>13</v>
      </c>
    </row>
    <row r="16" spans="1:39" x14ac:dyDescent="0.25">
      <c r="A16" s="44" t="str">
        <f t="shared" si="1"/>
        <v>(14)</v>
      </c>
      <c r="B16" s="26">
        <v>14</v>
      </c>
      <c r="C16" s="26">
        <v>1</v>
      </c>
      <c r="D16" s="26">
        <v>14</v>
      </c>
      <c r="E16" s="42">
        <v>3389</v>
      </c>
      <c r="F16" s="47">
        <v>2</v>
      </c>
      <c r="G16" s="4">
        <f t="shared" si="2"/>
        <v>1373910000</v>
      </c>
      <c r="H16" s="4">
        <f t="shared" si="2"/>
        <v>7204930</v>
      </c>
      <c r="I16" s="4">
        <f t="shared" si="2"/>
        <v>71235.399999999994</v>
      </c>
      <c r="J16" s="4">
        <f t="shared" si="2"/>
        <v>2801350</v>
      </c>
      <c r="K16" s="4">
        <f t="shared" si="2"/>
        <v>-42316.6</v>
      </c>
      <c r="L16" s="4">
        <f t="shared" si="2"/>
        <v>14731.4</v>
      </c>
      <c r="M16" s="11">
        <f t="shared" si="2"/>
        <v>30</v>
      </c>
      <c r="O16" s="33">
        <v>3392</v>
      </c>
      <c r="P16" s="34">
        <v>1339840000</v>
      </c>
      <c r="Q16" s="34">
        <v>7046660</v>
      </c>
      <c r="R16" s="34">
        <v>74491.8</v>
      </c>
      <c r="S16" s="34">
        <v>-5004960</v>
      </c>
      <c r="T16" s="34">
        <v>57560.6</v>
      </c>
      <c r="U16" s="34">
        <v>13317.6</v>
      </c>
      <c r="V16" s="35">
        <v>20</v>
      </c>
      <c r="Z16">
        <v>3392</v>
      </c>
      <c r="AA16">
        <v>1339840000</v>
      </c>
      <c r="AB16">
        <v>7046660</v>
      </c>
      <c r="AC16">
        <v>74491.8</v>
      </c>
      <c r="AD16">
        <v>-5004960</v>
      </c>
      <c r="AE16">
        <v>57560.6</v>
      </c>
      <c r="AF16">
        <v>13317.6</v>
      </c>
      <c r="AG16">
        <v>20</v>
      </c>
      <c r="AJ16" s="42">
        <v>3389</v>
      </c>
      <c r="AK16" s="47">
        <v>2</v>
      </c>
      <c r="AL16">
        <v>1</v>
      </c>
      <c r="AM16">
        <v>14</v>
      </c>
    </row>
    <row r="17" spans="1:39" x14ac:dyDescent="0.25">
      <c r="A17" s="44" t="str">
        <f t="shared" si="1"/>
        <v>(15)</v>
      </c>
      <c r="B17" s="26">
        <v>15</v>
      </c>
      <c r="C17" s="26">
        <v>1</v>
      </c>
      <c r="D17" s="26">
        <v>15</v>
      </c>
      <c r="E17" s="42">
        <v>3390</v>
      </c>
      <c r="F17" s="47">
        <v>3</v>
      </c>
      <c r="G17" s="4">
        <f t="shared" si="2"/>
        <v>1410870000</v>
      </c>
      <c r="H17" s="4">
        <f t="shared" si="2"/>
        <v>7449540</v>
      </c>
      <c r="I17" s="4">
        <f t="shared" si="2"/>
        <v>77553.2</v>
      </c>
      <c r="J17" s="4">
        <f t="shared" si="2"/>
        <v>-4211160</v>
      </c>
      <c r="K17" s="4">
        <f t="shared" si="2"/>
        <v>16325.6</v>
      </c>
      <c r="L17" s="4">
        <f t="shared" si="2"/>
        <v>12858.8</v>
      </c>
      <c r="M17" s="11">
        <f t="shared" si="2"/>
        <v>30</v>
      </c>
      <c r="O17" s="33">
        <v>3393</v>
      </c>
      <c r="P17" s="34">
        <v>1331080000</v>
      </c>
      <c r="Q17" s="34">
        <v>6996190</v>
      </c>
      <c r="R17" s="34">
        <v>72127.399999999994</v>
      </c>
      <c r="S17" s="34">
        <v>-8744260</v>
      </c>
      <c r="T17" s="34">
        <v>-40772.5</v>
      </c>
      <c r="U17" s="34">
        <v>14361</v>
      </c>
      <c r="V17" s="35">
        <v>20</v>
      </c>
      <c r="Z17">
        <v>3393</v>
      </c>
      <c r="AA17">
        <v>1331080000</v>
      </c>
      <c r="AB17">
        <v>6996190</v>
      </c>
      <c r="AC17">
        <v>72127.399999999994</v>
      </c>
      <c r="AD17">
        <v>-8744260</v>
      </c>
      <c r="AE17">
        <v>-40772.5</v>
      </c>
      <c r="AF17">
        <v>14361</v>
      </c>
      <c r="AG17">
        <v>20</v>
      </c>
      <c r="AJ17" s="42">
        <v>3390</v>
      </c>
      <c r="AK17" s="47">
        <v>3</v>
      </c>
      <c r="AL17">
        <v>1</v>
      </c>
      <c r="AM17">
        <v>15</v>
      </c>
    </row>
    <row r="18" spans="1:39" x14ac:dyDescent="0.25">
      <c r="A18" s="44" t="str">
        <f t="shared" si="1"/>
        <v>(16)</v>
      </c>
      <c r="B18" s="26">
        <v>16</v>
      </c>
      <c r="C18" s="26">
        <v>1</v>
      </c>
      <c r="D18" s="26">
        <v>16</v>
      </c>
      <c r="E18" s="42">
        <v>3387</v>
      </c>
      <c r="F18" s="47">
        <v>22</v>
      </c>
      <c r="G18" s="4">
        <f t="shared" si="2"/>
        <v>1321880000</v>
      </c>
      <c r="H18" s="4">
        <f t="shared" si="2"/>
        <v>6953780</v>
      </c>
      <c r="I18" s="4">
        <f t="shared" si="2"/>
        <v>75548.899999999994</v>
      </c>
      <c r="J18" s="4">
        <f t="shared" si="2"/>
        <v>-7079850</v>
      </c>
      <c r="K18" s="4">
        <f t="shared" si="2"/>
        <v>128729</v>
      </c>
      <c r="L18" s="4">
        <f t="shared" si="2"/>
        <v>13473.3</v>
      </c>
      <c r="M18" s="11">
        <f t="shared" si="2"/>
        <v>30</v>
      </c>
      <c r="O18" s="33">
        <v>3394</v>
      </c>
      <c r="P18" s="34">
        <v>1737340000</v>
      </c>
      <c r="Q18" s="34">
        <v>9126780</v>
      </c>
      <c r="R18" s="34">
        <v>95247.2</v>
      </c>
      <c r="S18" s="34">
        <v>-18151800</v>
      </c>
      <c r="T18" s="34">
        <v>888.14499999999998</v>
      </c>
      <c r="U18" s="34">
        <v>15603.9</v>
      </c>
      <c r="V18" s="35">
        <v>20</v>
      </c>
      <c r="Z18">
        <v>3394</v>
      </c>
      <c r="AA18">
        <v>1737340000</v>
      </c>
      <c r="AB18">
        <v>9126780</v>
      </c>
      <c r="AC18">
        <v>95247.2</v>
      </c>
      <c r="AD18">
        <v>-18151800</v>
      </c>
      <c r="AE18">
        <v>888.14499999999998</v>
      </c>
      <c r="AF18">
        <v>15603.9</v>
      </c>
      <c r="AG18">
        <v>20</v>
      </c>
      <c r="AJ18" s="42">
        <v>3387</v>
      </c>
      <c r="AK18" s="47">
        <v>22</v>
      </c>
      <c r="AL18">
        <v>1</v>
      </c>
      <c r="AM18">
        <v>16</v>
      </c>
    </row>
    <row r="19" spans="1:39" x14ac:dyDescent="0.25">
      <c r="A19" s="44" t="str">
        <f t="shared" si="1"/>
        <v>(17)</v>
      </c>
      <c r="B19" s="26">
        <v>17</v>
      </c>
      <c r="C19" s="26">
        <v>2</v>
      </c>
      <c r="D19" s="26">
        <v>1</v>
      </c>
      <c r="E19" s="42">
        <v>3397</v>
      </c>
      <c r="F19" s="47">
        <v>9</v>
      </c>
      <c r="G19" s="4">
        <f t="shared" si="2"/>
        <v>1347710000</v>
      </c>
      <c r="H19" s="4">
        <f t="shared" si="2"/>
        <v>7097850</v>
      </c>
      <c r="I19" s="4">
        <f t="shared" si="2"/>
        <v>73741.2</v>
      </c>
      <c r="J19" s="4">
        <f t="shared" si="2"/>
        <v>-5754910</v>
      </c>
      <c r="K19" s="4">
        <f t="shared" si="2"/>
        <v>-18618.3</v>
      </c>
      <c r="L19" s="4">
        <f t="shared" si="2"/>
        <v>13883.8</v>
      </c>
      <c r="M19" s="11">
        <f t="shared" si="2"/>
        <v>20</v>
      </c>
      <c r="O19" s="33">
        <v>3395</v>
      </c>
      <c r="P19" s="34">
        <v>1319160000</v>
      </c>
      <c r="Q19" s="34">
        <v>6990600</v>
      </c>
      <c r="R19" s="34">
        <v>74259</v>
      </c>
      <c r="S19" s="34">
        <v>-3260600</v>
      </c>
      <c r="T19" s="34">
        <v>3852.56</v>
      </c>
      <c r="U19" s="34">
        <v>15757.4</v>
      </c>
      <c r="V19" s="35">
        <v>20</v>
      </c>
      <c r="Z19">
        <v>3395</v>
      </c>
      <c r="AA19">
        <v>1319160000</v>
      </c>
      <c r="AB19">
        <v>6990600</v>
      </c>
      <c r="AC19">
        <v>74259</v>
      </c>
      <c r="AD19">
        <v>-3260600</v>
      </c>
      <c r="AE19">
        <v>3852.56</v>
      </c>
      <c r="AF19">
        <v>15757.4</v>
      </c>
      <c r="AG19">
        <v>20</v>
      </c>
      <c r="AJ19" s="42">
        <v>3397</v>
      </c>
      <c r="AK19" s="47">
        <v>9</v>
      </c>
      <c r="AL19">
        <v>2</v>
      </c>
      <c r="AM19">
        <v>1</v>
      </c>
    </row>
    <row r="20" spans="1:39" x14ac:dyDescent="0.25">
      <c r="A20" s="44" t="str">
        <f t="shared" si="1"/>
        <v>(18)</v>
      </c>
      <c r="B20" s="26">
        <v>18</v>
      </c>
      <c r="C20" s="26">
        <v>2</v>
      </c>
      <c r="D20" s="26">
        <v>2</v>
      </c>
      <c r="E20" s="42">
        <v>3381</v>
      </c>
      <c r="F20" s="47">
        <v>23</v>
      </c>
      <c r="G20" s="4">
        <f t="shared" si="2"/>
        <v>1340100000</v>
      </c>
      <c r="H20" s="4">
        <f t="shared" si="2"/>
        <v>6959910</v>
      </c>
      <c r="I20" s="4">
        <f t="shared" si="2"/>
        <v>74279.899999999994</v>
      </c>
      <c r="J20" s="4">
        <f t="shared" si="2"/>
        <v>-683085</v>
      </c>
      <c r="K20" s="4">
        <f t="shared" si="2"/>
        <v>70789.2</v>
      </c>
      <c r="L20" s="4">
        <f t="shared" si="2"/>
        <v>13195.5</v>
      </c>
      <c r="M20" s="11">
        <f t="shared" si="2"/>
        <v>30</v>
      </c>
      <c r="O20" s="33">
        <v>3396</v>
      </c>
      <c r="P20" s="34">
        <v>1367620000</v>
      </c>
      <c r="Q20" s="34">
        <v>7237750</v>
      </c>
      <c r="R20" s="34">
        <v>71645.899999999994</v>
      </c>
      <c r="S20" s="34">
        <v>-5766930</v>
      </c>
      <c r="T20" s="34">
        <v>-21127.4</v>
      </c>
      <c r="U20" s="34">
        <v>14807.4</v>
      </c>
      <c r="V20" s="35">
        <v>20</v>
      </c>
      <c r="Z20">
        <v>3396</v>
      </c>
      <c r="AA20">
        <v>1367620000</v>
      </c>
      <c r="AB20">
        <v>7237750</v>
      </c>
      <c r="AC20">
        <v>71645.899999999994</v>
      </c>
      <c r="AD20">
        <v>-5766930</v>
      </c>
      <c r="AE20">
        <v>-21127.4</v>
      </c>
      <c r="AF20">
        <v>14807.4</v>
      </c>
      <c r="AG20">
        <v>20</v>
      </c>
      <c r="AJ20" s="42">
        <v>3381</v>
      </c>
      <c r="AK20" s="47">
        <v>23</v>
      </c>
      <c r="AL20">
        <v>2</v>
      </c>
      <c r="AM20">
        <v>2</v>
      </c>
    </row>
    <row r="21" spans="1:39" x14ac:dyDescent="0.25">
      <c r="A21" s="44" t="str">
        <f t="shared" si="1"/>
        <v>(19)</v>
      </c>
      <c r="B21" s="26">
        <v>19</v>
      </c>
      <c r="C21" s="26">
        <v>2</v>
      </c>
      <c r="D21" s="26">
        <v>3</v>
      </c>
      <c r="E21" s="42">
        <v>3379</v>
      </c>
      <c r="F21" s="47">
        <v>19</v>
      </c>
      <c r="G21" s="4">
        <f t="shared" si="2"/>
        <v>1321320000</v>
      </c>
      <c r="H21" s="4">
        <f t="shared" si="2"/>
        <v>6942310</v>
      </c>
      <c r="I21" s="4">
        <f t="shared" si="2"/>
        <v>77904.100000000006</v>
      </c>
      <c r="J21" s="4">
        <f t="shared" si="2"/>
        <v>-9474180</v>
      </c>
      <c r="K21" s="4">
        <f t="shared" si="2"/>
        <v>85649.1</v>
      </c>
      <c r="L21" s="4">
        <f t="shared" si="2"/>
        <v>12783</v>
      </c>
      <c r="M21" s="11">
        <f t="shared" si="2"/>
        <v>30</v>
      </c>
      <c r="O21" s="33">
        <v>3397</v>
      </c>
      <c r="P21" s="34">
        <v>1347710000</v>
      </c>
      <c r="Q21" s="34">
        <v>7097850</v>
      </c>
      <c r="R21" s="34">
        <v>73741.2</v>
      </c>
      <c r="S21" s="34">
        <v>-5754910</v>
      </c>
      <c r="T21" s="34">
        <v>-18618.3</v>
      </c>
      <c r="U21" s="34">
        <v>13883.8</v>
      </c>
      <c r="V21" s="35">
        <v>20</v>
      </c>
      <c r="Z21">
        <v>3397</v>
      </c>
      <c r="AA21">
        <v>1347710000</v>
      </c>
      <c r="AB21">
        <v>7097850</v>
      </c>
      <c r="AC21">
        <v>73741.2</v>
      </c>
      <c r="AD21">
        <v>-5754910</v>
      </c>
      <c r="AE21">
        <v>-18618.3</v>
      </c>
      <c r="AF21">
        <v>13883.8</v>
      </c>
      <c r="AG21">
        <v>20</v>
      </c>
      <c r="AJ21" s="42">
        <v>3379</v>
      </c>
      <c r="AK21" s="47">
        <v>19</v>
      </c>
      <c r="AL21">
        <v>2</v>
      </c>
      <c r="AM21">
        <v>3</v>
      </c>
    </row>
    <row r="22" spans="1:39" x14ac:dyDescent="0.25">
      <c r="A22" s="44" t="str">
        <f t="shared" si="1"/>
        <v>(20)</v>
      </c>
      <c r="B22" s="26">
        <v>20</v>
      </c>
      <c r="C22" s="26">
        <v>2</v>
      </c>
      <c r="D22" s="26">
        <v>4</v>
      </c>
      <c r="E22" s="42">
        <v>3383</v>
      </c>
      <c r="F22" s="47">
        <v>20</v>
      </c>
      <c r="G22" s="4">
        <f t="shared" si="2"/>
        <v>1414580000</v>
      </c>
      <c r="H22" s="4">
        <f t="shared" si="2"/>
        <v>7496330</v>
      </c>
      <c r="I22" s="4">
        <f t="shared" si="2"/>
        <v>79768.7</v>
      </c>
      <c r="J22" s="4">
        <f t="shared" si="2"/>
        <v>-4488640</v>
      </c>
      <c r="K22" s="4">
        <f t="shared" si="2"/>
        <v>127752</v>
      </c>
      <c r="L22" s="4">
        <f t="shared" si="2"/>
        <v>14089.7</v>
      </c>
      <c r="M22" s="11">
        <f t="shared" si="2"/>
        <v>30</v>
      </c>
      <c r="O22" s="33">
        <v>3398</v>
      </c>
      <c r="P22" s="34">
        <v>1434740000</v>
      </c>
      <c r="Q22" s="34">
        <v>7449330</v>
      </c>
      <c r="R22" s="34">
        <v>73361.899999999994</v>
      </c>
      <c r="S22" s="34">
        <v>-3427590</v>
      </c>
      <c r="T22" s="34">
        <v>28290.2</v>
      </c>
      <c r="U22" s="34">
        <v>15814.1</v>
      </c>
      <c r="V22" s="35">
        <v>20</v>
      </c>
      <c r="Z22">
        <v>3398</v>
      </c>
      <c r="AA22">
        <v>1434740000</v>
      </c>
      <c r="AB22">
        <v>7449330</v>
      </c>
      <c r="AC22">
        <v>73361.899999999994</v>
      </c>
      <c r="AD22">
        <v>-3427590</v>
      </c>
      <c r="AE22">
        <v>28290.2</v>
      </c>
      <c r="AF22">
        <v>15814.1</v>
      </c>
      <c r="AG22">
        <v>20</v>
      </c>
      <c r="AJ22" s="42">
        <v>3383</v>
      </c>
      <c r="AK22" s="47">
        <v>20</v>
      </c>
      <c r="AL22">
        <v>2</v>
      </c>
      <c r="AM22">
        <v>4</v>
      </c>
    </row>
    <row r="23" spans="1:39" x14ac:dyDescent="0.25">
      <c r="A23" s="44" t="str">
        <f t="shared" si="1"/>
        <v>(21)</v>
      </c>
      <c r="B23" s="26">
        <v>21</v>
      </c>
      <c r="C23" s="26">
        <v>2</v>
      </c>
      <c r="D23" s="26">
        <v>5</v>
      </c>
      <c r="E23" s="42">
        <v>3396</v>
      </c>
      <c r="F23" s="47">
        <v>15</v>
      </c>
      <c r="G23" s="4">
        <f t="shared" si="2"/>
        <v>1367620000</v>
      </c>
      <c r="H23" s="4">
        <f t="shared" si="2"/>
        <v>7237750</v>
      </c>
      <c r="I23" s="4">
        <f t="shared" si="2"/>
        <v>71645.899999999994</v>
      </c>
      <c r="J23" s="4">
        <f t="shared" si="2"/>
        <v>-5766930</v>
      </c>
      <c r="K23" s="4">
        <f t="shared" si="2"/>
        <v>-21127.4</v>
      </c>
      <c r="L23" s="4">
        <f t="shared" si="2"/>
        <v>14807.4</v>
      </c>
      <c r="M23" s="11">
        <f t="shared" si="2"/>
        <v>20</v>
      </c>
      <c r="O23" s="33">
        <v>3399</v>
      </c>
      <c r="P23" s="34">
        <v>1341860000</v>
      </c>
      <c r="Q23" s="34">
        <v>7045270</v>
      </c>
      <c r="R23" s="34">
        <v>73401.399999999994</v>
      </c>
      <c r="S23" s="34">
        <v>647879</v>
      </c>
      <c r="T23" s="34">
        <v>24049.599999999999</v>
      </c>
      <c r="U23" s="34">
        <v>14900.8</v>
      </c>
      <c r="V23" s="35">
        <v>20</v>
      </c>
      <c r="Z23">
        <v>3399</v>
      </c>
      <c r="AA23">
        <v>1341860000</v>
      </c>
      <c r="AB23">
        <v>7045270</v>
      </c>
      <c r="AC23">
        <v>73401.399999999994</v>
      </c>
      <c r="AD23">
        <v>647879</v>
      </c>
      <c r="AE23">
        <v>24049.599999999999</v>
      </c>
      <c r="AF23">
        <v>14900.8</v>
      </c>
      <c r="AG23">
        <v>20</v>
      </c>
      <c r="AJ23" s="42">
        <v>3396</v>
      </c>
      <c r="AK23" s="47">
        <v>15</v>
      </c>
      <c r="AL23">
        <v>2</v>
      </c>
      <c r="AM23">
        <v>5</v>
      </c>
    </row>
    <row r="24" spans="1:39" x14ac:dyDescent="0.25">
      <c r="A24" s="44" t="str">
        <f t="shared" si="1"/>
        <v>(22)</v>
      </c>
      <c r="B24" s="26">
        <v>22</v>
      </c>
      <c r="C24" s="26">
        <v>2</v>
      </c>
      <c r="D24" s="26">
        <v>6</v>
      </c>
      <c r="E24" s="42">
        <v>3382</v>
      </c>
      <c r="F24" s="47">
        <v>21</v>
      </c>
      <c r="G24" s="4">
        <f t="shared" si="2"/>
        <v>1332630000</v>
      </c>
      <c r="H24" s="4">
        <f t="shared" si="2"/>
        <v>7031600</v>
      </c>
      <c r="I24" s="4">
        <f t="shared" si="2"/>
        <v>73620.100000000006</v>
      </c>
      <c r="J24" s="4">
        <f t="shared" si="2"/>
        <v>-1572190</v>
      </c>
      <c r="K24" s="4">
        <f t="shared" si="2"/>
        <v>37528.5</v>
      </c>
      <c r="L24" s="4">
        <f t="shared" si="2"/>
        <v>12417.8</v>
      </c>
      <c r="M24" s="11">
        <f t="shared" si="2"/>
        <v>30</v>
      </c>
      <c r="O24" s="33">
        <v>3400</v>
      </c>
      <c r="P24" s="34">
        <v>1336310000</v>
      </c>
      <c r="Q24" s="34">
        <v>7096880</v>
      </c>
      <c r="R24" s="34">
        <v>75223.899999999994</v>
      </c>
      <c r="S24" s="34">
        <v>-2761200</v>
      </c>
      <c r="T24" s="34">
        <v>-14756.1</v>
      </c>
      <c r="U24" s="34">
        <v>14805.4</v>
      </c>
      <c r="V24" s="35">
        <v>20</v>
      </c>
      <c r="Z24">
        <v>3400</v>
      </c>
      <c r="AA24">
        <v>1336310000</v>
      </c>
      <c r="AB24">
        <v>7096880</v>
      </c>
      <c r="AC24">
        <v>75223.899999999994</v>
      </c>
      <c r="AD24">
        <v>-2761200</v>
      </c>
      <c r="AE24">
        <v>-14756.1</v>
      </c>
      <c r="AF24">
        <v>14805.4</v>
      </c>
      <c r="AG24">
        <v>20</v>
      </c>
      <c r="AJ24" s="42">
        <v>3382</v>
      </c>
      <c r="AK24" s="47">
        <v>21</v>
      </c>
      <c r="AL24">
        <v>2</v>
      </c>
      <c r="AM24">
        <v>6</v>
      </c>
    </row>
    <row r="25" spans="1:39" x14ac:dyDescent="0.25">
      <c r="A25" s="44" t="str">
        <f t="shared" si="1"/>
        <v>(23)</v>
      </c>
      <c r="B25" s="26">
        <v>23</v>
      </c>
      <c r="C25" s="26">
        <v>2</v>
      </c>
      <c r="D25" s="26">
        <v>7</v>
      </c>
      <c r="E25" s="42">
        <v>3391</v>
      </c>
      <c r="F25" s="47">
        <v>16</v>
      </c>
      <c r="G25" s="4">
        <f t="shared" si="2"/>
        <v>1432990000</v>
      </c>
      <c r="H25" s="4">
        <f t="shared" si="2"/>
        <v>7521750</v>
      </c>
      <c r="I25" s="4">
        <f t="shared" si="2"/>
        <v>78210.100000000006</v>
      </c>
      <c r="J25" s="4">
        <f t="shared" si="2"/>
        <v>-3974070</v>
      </c>
      <c r="K25" s="4">
        <f t="shared" si="2"/>
        <v>3509.1</v>
      </c>
      <c r="L25" s="4">
        <f t="shared" si="2"/>
        <v>13660.6</v>
      </c>
      <c r="M25" s="11">
        <f t="shared" si="2"/>
        <v>20</v>
      </c>
      <c r="O25" s="33">
        <v>3401</v>
      </c>
      <c r="P25" s="34">
        <v>1376890000</v>
      </c>
      <c r="Q25" s="34">
        <v>7239770</v>
      </c>
      <c r="R25" s="34">
        <v>72395.199999999997</v>
      </c>
      <c r="S25" s="34">
        <v>-5217560</v>
      </c>
      <c r="T25" s="34">
        <v>-45019.4</v>
      </c>
      <c r="U25" s="34">
        <v>15545.3</v>
      </c>
      <c r="V25" s="35">
        <v>20</v>
      </c>
      <c r="Z25">
        <v>3401</v>
      </c>
      <c r="AA25">
        <v>1376890000</v>
      </c>
      <c r="AB25">
        <v>7239770</v>
      </c>
      <c r="AC25">
        <v>72395.199999999997</v>
      </c>
      <c r="AD25">
        <v>-5217560</v>
      </c>
      <c r="AE25">
        <v>-45019.4</v>
      </c>
      <c r="AF25">
        <v>15545.3</v>
      </c>
      <c r="AG25">
        <v>20</v>
      </c>
      <c r="AJ25" s="42">
        <v>3391</v>
      </c>
      <c r="AK25" s="47">
        <v>16</v>
      </c>
      <c r="AL25">
        <v>2</v>
      </c>
      <c r="AM25">
        <v>7</v>
      </c>
    </row>
    <row r="26" spans="1:39" ht="15.75" thickBot="1" x14ac:dyDescent="0.3">
      <c r="A26" s="44" t="str">
        <f t="shared" si="1"/>
        <v>(24)</v>
      </c>
      <c r="B26" s="29">
        <v>24</v>
      </c>
      <c r="C26" s="29">
        <v>2</v>
      </c>
      <c r="D26" s="29">
        <v>8</v>
      </c>
      <c r="E26" s="43">
        <v>3384</v>
      </c>
      <c r="F26" s="43">
        <v>24</v>
      </c>
      <c r="G26" s="12">
        <f t="shared" si="2"/>
        <v>1432430000</v>
      </c>
      <c r="H26" s="12">
        <f t="shared" si="2"/>
        <v>7402560</v>
      </c>
      <c r="I26" s="12">
        <f t="shared" si="2"/>
        <v>79259.3</v>
      </c>
      <c r="J26" s="12">
        <f t="shared" si="2"/>
        <v>-6857680</v>
      </c>
      <c r="K26" s="12">
        <f t="shared" si="2"/>
        <v>133432</v>
      </c>
      <c r="L26" s="12">
        <f t="shared" si="2"/>
        <v>13799.7</v>
      </c>
      <c r="M26" s="13">
        <f t="shared" si="2"/>
        <v>30</v>
      </c>
      <c r="O26" s="36">
        <v>3402</v>
      </c>
      <c r="P26" s="37">
        <v>1392520000</v>
      </c>
      <c r="Q26" s="37">
        <v>7230830</v>
      </c>
      <c r="R26" s="37">
        <v>75298.8</v>
      </c>
      <c r="S26" s="37">
        <v>-2209980</v>
      </c>
      <c r="T26" s="37">
        <v>-62020</v>
      </c>
      <c r="U26" s="37">
        <v>14222.2</v>
      </c>
      <c r="V26" s="38">
        <v>20</v>
      </c>
      <c r="Z26">
        <v>3402</v>
      </c>
      <c r="AA26">
        <v>1392520000</v>
      </c>
      <c r="AB26">
        <v>7230830</v>
      </c>
      <c r="AC26">
        <v>75298.8</v>
      </c>
      <c r="AD26">
        <v>-2209980</v>
      </c>
      <c r="AE26">
        <v>-62020</v>
      </c>
      <c r="AF26">
        <v>14222.2</v>
      </c>
      <c r="AG26">
        <v>20</v>
      </c>
      <c r="AJ26" s="43">
        <v>3384</v>
      </c>
      <c r="AK26" s="43">
        <v>24</v>
      </c>
      <c r="AL26">
        <v>2</v>
      </c>
      <c r="AM26">
        <v>8</v>
      </c>
    </row>
    <row r="28" spans="1:39" ht="15.75" thickBot="1" x14ac:dyDescent="0.3">
      <c r="A28" t="s">
        <v>180</v>
      </c>
    </row>
    <row r="29" spans="1:39" ht="15.75" thickBot="1" x14ac:dyDescent="0.3">
      <c r="B29" s="30" t="s">
        <v>176</v>
      </c>
      <c r="C29" s="30" t="s">
        <v>177</v>
      </c>
      <c r="D29" s="30" t="s">
        <v>203</v>
      </c>
      <c r="E29" s="56" t="s">
        <v>178</v>
      </c>
      <c r="F29" s="57" t="s">
        <v>157</v>
      </c>
      <c r="G29" s="53" t="s">
        <v>208</v>
      </c>
      <c r="O29" s="39"/>
      <c r="P29" s="41" t="s">
        <v>202</v>
      </c>
      <c r="AJ29" s="56" t="s">
        <v>178</v>
      </c>
      <c r="AK29" s="57" t="s">
        <v>157</v>
      </c>
      <c r="AL29" t="s">
        <v>278</v>
      </c>
      <c r="AM29" t="s">
        <v>279</v>
      </c>
    </row>
    <row r="30" spans="1:39" x14ac:dyDescent="0.25">
      <c r="B30" s="63">
        <v>1</v>
      </c>
      <c r="C30" s="30">
        <v>3</v>
      </c>
      <c r="D30" s="28">
        <v>1</v>
      </c>
      <c r="E30" s="61">
        <v>7677</v>
      </c>
      <c r="F30" s="58">
        <v>19</v>
      </c>
      <c r="G30" s="66">
        <f>1000/VLOOKUP(E30,$O$30:$P$41,2,FALSE)</f>
        <v>16.388069485414618</v>
      </c>
      <c r="O30" s="33">
        <v>7677</v>
      </c>
      <c r="P30" s="35">
        <v>61.02</v>
      </c>
      <c r="AJ30" s="61">
        <v>7677</v>
      </c>
      <c r="AK30" s="58">
        <v>19</v>
      </c>
      <c r="AL30">
        <v>2</v>
      </c>
      <c r="AM30">
        <v>9</v>
      </c>
    </row>
    <row r="31" spans="1:39" x14ac:dyDescent="0.25">
      <c r="B31" s="44">
        <v>2</v>
      </c>
      <c r="C31" s="26">
        <v>3</v>
      </c>
      <c r="D31" s="64">
        <v>3</v>
      </c>
      <c r="E31" s="55">
        <v>7678</v>
      </c>
      <c r="F31" s="59">
        <v>20</v>
      </c>
      <c r="G31" s="67">
        <f t="shared" ref="G31:G41" si="3">1000/VLOOKUP(E31,$O$30:$P$41,2,FALSE)</f>
        <v>16.100466913540494</v>
      </c>
      <c r="O31" s="33">
        <v>7678</v>
      </c>
      <c r="P31" s="35">
        <v>62.11</v>
      </c>
      <c r="AJ31" s="55">
        <v>7678</v>
      </c>
      <c r="AK31" s="59">
        <v>20</v>
      </c>
      <c r="AL31">
        <v>2</v>
      </c>
      <c r="AM31">
        <v>10</v>
      </c>
    </row>
    <row r="32" spans="1:39" x14ac:dyDescent="0.25">
      <c r="B32" s="44">
        <v>3</v>
      </c>
      <c r="C32" s="26">
        <v>3</v>
      </c>
      <c r="D32" s="64">
        <v>5</v>
      </c>
      <c r="E32" s="55">
        <v>10135</v>
      </c>
      <c r="F32" s="59">
        <v>17</v>
      </c>
      <c r="G32" s="67">
        <f t="shared" si="3"/>
        <v>16.708437761069341</v>
      </c>
      <c r="O32" s="33">
        <v>7366</v>
      </c>
      <c r="P32" s="35">
        <v>61.94</v>
      </c>
      <c r="AJ32" s="55">
        <v>10135</v>
      </c>
      <c r="AK32" s="59">
        <v>17</v>
      </c>
      <c r="AL32">
        <v>2</v>
      </c>
      <c r="AM32">
        <v>11</v>
      </c>
    </row>
    <row r="33" spans="1:39" x14ac:dyDescent="0.25">
      <c r="B33" s="44">
        <v>4</v>
      </c>
      <c r="C33" s="26">
        <v>3</v>
      </c>
      <c r="D33" s="64">
        <v>7</v>
      </c>
      <c r="E33" s="55">
        <v>10136</v>
      </c>
      <c r="F33" s="59">
        <v>13</v>
      </c>
      <c r="G33" s="67">
        <f t="shared" si="3"/>
        <v>16.534391534391535</v>
      </c>
      <c r="O33" s="33">
        <v>7675</v>
      </c>
      <c r="P33" s="35">
        <v>61.97</v>
      </c>
      <c r="AJ33" s="55">
        <v>10136</v>
      </c>
      <c r="AK33" s="59">
        <v>13</v>
      </c>
      <c r="AL33">
        <v>2</v>
      </c>
      <c r="AM33">
        <v>12</v>
      </c>
    </row>
    <row r="34" spans="1:39" x14ac:dyDescent="0.25">
      <c r="B34" s="44">
        <v>5</v>
      </c>
      <c r="C34" s="26">
        <v>3</v>
      </c>
      <c r="D34" s="64">
        <v>9</v>
      </c>
      <c r="E34" s="55">
        <v>7364</v>
      </c>
      <c r="F34" s="59">
        <v>5</v>
      </c>
      <c r="G34" s="67">
        <f t="shared" si="3"/>
        <v>16.388069485414618</v>
      </c>
      <c r="O34" s="33">
        <v>7364</v>
      </c>
      <c r="P34" s="35">
        <v>61.02</v>
      </c>
      <c r="AJ34" s="55">
        <v>7364</v>
      </c>
      <c r="AK34" s="59">
        <v>5</v>
      </c>
      <c r="AL34">
        <v>2</v>
      </c>
      <c r="AM34">
        <v>13</v>
      </c>
    </row>
    <row r="35" spans="1:39" x14ac:dyDescent="0.25">
      <c r="B35" s="44">
        <v>6</v>
      </c>
      <c r="C35" s="26">
        <v>3</v>
      </c>
      <c r="D35" s="64">
        <v>11</v>
      </c>
      <c r="E35" s="55">
        <v>7363</v>
      </c>
      <c r="F35" s="59">
        <v>6</v>
      </c>
      <c r="G35" s="67">
        <f t="shared" si="3"/>
        <v>16.079755587715066</v>
      </c>
      <c r="O35" s="33">
        <v>7365</v>
      </c>
      <c r="P35" s="35">
        <v>62.95</v>
      </c>
      <c r="AJ35" s="55">
        <v>7363</v>
      </c>
      <c r="AK35" s="59">
        <v>6</v>
      </c>
      <c r="AL35">
        <v>2</v>
      </c>
      <c r="AM35">
        <v>14</v>
      </c>
    </row>
    <row r="36" spans="1:39" x14ac:dyDescent="0.25">
      <c r="B36" s="44">
        <v>7</v>
      </c>
      <c r="C36" s="26">
        <v>3</v>
      </c>
      <c r="D36" s="64">
        <v>13</v>
      </c>
      <c r="E36" s="55">
        <v>7675</v>
      </c>
      <c r="F36" s="59">
        <v>2</v>
      </c>
      <c r="G36" s="67">
        <f t="shared" si="3"/>
        <v>16.136840406648378</v>
      </c>
      <c r="O36" s="33">
        <v>7363</v>
      </c>
      <c r="P36" s="35">
        <v>62.19</v>
      </c>
      <c r="AJ36" s="55">
        <v>7675</v>
      </c>
      <c r="AK36" s="59">
        <v>2</v>
      </c>
      <c r="AL36">
        <v>2</v>
      </c>
      <c r="AM36">
        <v>15</v>
      </c>
    </row>
    <row r="37" spans="1:39" x14ac:dyDescent="0.25">
      <c r="B37" s="44">
        <v>8</v>
      </c>
      <c r="C37" s="26">
        <v>2</v>
      </c>
      <c r="D37" s="64">
        <v>13</v>
      </c>
      <c r="E37" s="55">
        <v>7366</v>
      </c>
      <c r="F37" s="59">
        <v>4</v>
      </c>
      <c r="G37" s="67">
        <f t="shared" si="3"/>
        <v>16.14465611882467</v>
      </c>
      <c r="O37" s="33">
        <v>7676</v>
      </c>
      <c r="P37" s="35">
        <v>60.84</v>
      </c>
      <c r="AJ37" s="55">
        <v>7366</v>
      </c>
      <c r="AK37" s="59">
        <v>4</v>
      </c>
      <c r="AL37">
        <v>2</v>
      </c>
      <c r="AM37">
        <v>16</v>
      </c>
    </row>
    <row r="38" spans="1:39" x14ac:dyDescent="0.25">
      <c r="B38" s="44">
        <v>9</v>
      </c>
      <c r="C38" s="26">
        <v>2</v>
      </c>
      <c r="D38" s="64">
        <v>13</v>
      </c>
      <c r="E38" s="55">
        <v>7676</v>
      </c>
      <c r="F38" s="59">
        <v>22</v>
      </c>
      <c r="G38" s="67">
        <f t="shared" si="3"/>
        <v>16.436554898093359</v>
      </c>
      <c r="O38" s="33">
        <v>10136</v>
      </c>
      <c r="P38" s="35">
        <v>60.48</v>
      </c>
      <c r="AJ38" s="55">
        <v>7676</v>
      </c>
      <c r="AK38" s="59">
        <v>22</v>
      </c>
      <c r="AL38">
        <v>4</v>
      </c>
      <c r="AM38">
        <v>1</v>
      </c>
    </row>
    <row r="39" spans="1:39" x14ac:dyDescent="0.25">
      <c r="B39" s="44">
        <v>10</v>
      </c>
      <c r="C39" s="26">
        <v>2</v>
      </c>
      <c r="D39" s="64">
        <v>13</v>
      </c>
      <c r="E39" s="55">
        <v>7365</v>
      </c>
      <c r="F39" s="59">
        <v>21</v>
      </c>
      <c r="G39" s="67">
        <f t="shared" si="3"/>
        <v>15.885623510722795</v>
      </c>
      <c r="O39" s="33">
        <v>10135</v>
      </c>
      <c r="P39" s="35">
        <v>59.85</v>
      </c>
      <c r="AJ39" s="55">
        <v>7365</v>
      </c>
      <c r="AK39" s="59">
        <v>21</v>
      </c>
      <c r="AL39">
        <v>4</v>
      </c>
      <c r="AM39">
        <v>2</v>
      </c>
    </row>
    <row r="40" spans="1:39" x14ac:dyDescent="0.25">
      <c r="B40" s="44">
        <v>11</v>
      </c>
      <c r="C40" s="26">
        <v>2</v>
      </c>
      <c r="D40" s="64">
        <v>13</v>
      </c>
      <c r="E40" s="55">
        <v>10138</v>
      </c>
      <c r="F40" s="59">
        <v>15</v>
      </c>
      <c r="G40" s="67">
        <f t="shared" si="3"/>
        <v>16.059097478721696</v>
      </c>
      <c r="O40" s="33">
        <v>10138</v>
      </c>
      <c r="P40" s="35">
        <v>62.27</v>
      </c>
      <c r="AJ40" s="55">
        <v>10138</v>
      </c>
      <c r="AK40" s="59">
        <v>15</v>
      </c>
      <c r="AL40">
        <v>4</v>
      </c>
      <c r="AM40">
        <v>3</v>
      </c>
    </row>
    <row r="41" spans="1:39" ht="15.75" thickBot="1" x14ac:dyDescent="0.3">
      <c r="B41" s="45">
        <v>12</v>
      </c>
      <c r="C41" s="29">
        <v>2</v>
      </c>
      <c r="D41" s="65">
        <v>13</v>
      </c>
      <c r="E41" s="62">
        <v>10137</v>
      </c>
      <c r="F41" s="60">
        <v>10</v>
      </c>
      <c r="G41" s="68">
        <f t="shared" si="3"/>
        <v>16.871941960519656</v>
      </c>
      <c r="O41" s="36">
        <v>10137</v>
      </c>
      <c r="P41" s="38">
        <v>59.27</v>
      </c>
      <c r="AJ41" s="62">
        <v>10137</v>
      </c>
      <c r="AK41" s="60">
        <v>10</v>
      </c>
      <c r="AL41">
        <v>4</v>
      </c>
      <c r="AM41">
        <v>4</v>
      </c>
    </row>
    <row r="43" spans="1:39" x14ac:dyDescent="0.25">
      <c r="A43" t="s">
        <v>212</v>
      </c>
    </row>
    <row r="44" spans="1:39" x14ac:dyDescent="0.25">
      <c r="B44" s="26">
        <v>1500</v>
      </c>
    </row>
  </sheetData>
  <sortState ref="AJ30:AN41">
    <sortCondition ref="AL30:AL41"/>
    <sortCondition ref="AM30:AM41"/>
  </sortState>
  <pageMargins left="0.7" right="0.7" top="0.75" bottom="0.75" header="0.3" footer="0.3"/>
  <pageSetup paperSize="9" orientation="portrait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43"/>
  <sheetViews>
    <sheetView workbookViewId="0">
      <selection activeCell="B6" sqref="B6"/>
    </sheetView>
  </sheetViews>
  <sheetFormatPr defaultRowHeight="15" x14ac:dyDescent="0.25"/>
  <cols>
    <col min="1" max="1" width="22.42578125" bestFit="1" customWidth="1"/>
  </cols>
  <sheetData>
    <row r="1" spans="1:4" ht="15.75" thickBot="1" x14ac:dyDescent="0.3"/>
    <row r="2" spans="1:4" ht="15.75" thickBot="1" x14ac:dyDescent="0.3">
      <c r="A2" t="s">
        <v>42</v>
      </c>
      <c r="B2" s="9">
        <v>2</v>
      </c>
    </row>
    <row r="3" spans="1:4" ht="15.75" thickBot="1" x14ac:dyDescent="0.3">
      <c r="B3" s="10"/>
    </row>
    <row r="4" spans="1:4" ht="15.75" thickBot="1" x14ac:dyDescent="0.3">
      <c r="A4" t="s">
        <v>41</v>
      </c>
      <c r="B4" s="9" t="s">
        <v>43</v>
      </c>
    </row>
    <row r="5" spans="1:4" ht="15.75" thickBot="1" x14ac:dyDescent="0.3"/>
    <row r="6" spans="1:4" ht="15.75" thickBot="1" x14ac:dyDescent="0.3">
      <c r="A6" t="s">
        <v>54</v>
      </c>
      <c r="B6" s="9">
        <v>10</v>
      </c>
      <c r="D6" s="5">
        <f>IF(ScanFrequenceUnits="sec",DataAveragingFrequecy,IF(ScanFrequenceUnits="min",DataAveragingFrequecy*60,"need to put something in to handle this unit"))</f>
        <v>600</v>
      </c>
    </row>
    <row r="7" spans="1:4" ht="15.75" thickBot="1" x14ac:dyDescent="0.3">
      <c r="B7" s="10"/>
    </row>
    <row r="8" spans="1:4" ht="15.75" thickBot="1" x14ac:dyDescent="0.3">
      <c r="A8" t="s">
        <v>55</v>
      </c>
      <c r="B8" s="9" t="s">
        <v>43</v>
      </c>
    </row>
    <row r="9" spans="1:4" ht="15.75" thickBot="1" x14ac:dyDescent="0.3"/>
    <row r="10" spans="1:4" ht="15.75" thickBot="1" x14ac:dyDescent="0.3">
      <c r="A10" t="s">
        <v>50</v>
      </c>
      <c r="B10" s="8" t="s">
        <v>51</v>
      </c>
    </row>
    <row r="11" spans="1:4" ht="15.75" thickBot="1" x14ac:dyDescent="0.3"/>
    <row r="12" spans="1:4" ht="15.75" thickBot="1" x14ac:dyDescent="0.3">
      <c r="A12" t="s">
        <v>103</v>
      </c>
      <c r="B12" s="8">
        <v>9</v>
      </c>
    </row>
    <row r="13" spans="1:4" ht="15.75" thickBot="1" x14ac:dyDescent="0.3"/>
    <row r="14" spans="1:4" ht="15.75" thickBot="1" x14ac:dyDescent="0.3">
      <c r="A14" t="s">
        <v>102</v>
      </c>
      <c r="B14" s="8">
        <v>10</v>
      </c>
    </row>
    <row r="15" spans="1:4" ht="15.75" thickBot="1" x14ac:dyDescent="0.3"/>
    <row r="16" spans="1:4" ht="15.75" thickBot="1" x14ac:dyDescent="0.3">
      <c r="A16" t="s">
        <v>256</v>
      </c>
      <c r="B16" s="8">
        <v>6</v>
      </c>
    </row>
    <row r="17" spans="1:2" ht="15.75" thickBot="1" x14ac:dyDescent="0.3"/>
    <row r="18" spans="1:2" ht="15.75" thickBot="1" x14ac:dyDescent="0.3">
      <c r="A18" t="s">
        <v>115</v>
      </c>
      <c r="B18" s="8">
        <v>1</v>
      </c>
    </row>
    <row r="19" spans="1:2" ht="15.75" thickBot="1" x14ac:dyDescent="0.3"/>
    <row r="20" spans="1:2" ht="15.75" thickBot="1" x14ac:dyDescent="0.3">
      <c r="A20" t="s">
        <v>127</v>
      </c>
      <c r="B20" s="8">
        <v>1</v>
      </c>
    </row>
    <row r="21" spans="1:2" ht="15.75" thickBot="1" x14ac:dyDescent="0.3"/>
    <row r="22" spans="1:2" ht="15.75" thickBot="1" x14ac:dyDescent="0.3">
      <c r="A22" t="s">
        <v>128</v>
      </c>
      <c r="B22" s="8">
        <v>2</v>
      </c>
    </row>
    <row r="23" spans="1:2" ht="15.75" thickBot="1" x14ac:dyDescent="0.3"/>
    <row r="24" spans="1:2" ht="15.75" thickBot="1" x14ac:dyDescent="0.3">
      <c r="A24" t="s">
        <v>142</v>
      </c>
      <c r="B24" s="8">
        <v>0.76500000000000001</v>
      </c>
    </row>
    <row r="25" spans="1:2" ht="15.75" thickBot="1" x14ac:dyDescent="0.3"/>
    <row r="26" spans="1:2" ht="15.75" thickBot="1" x14ac:dyDescent="0.3">
      <c r="A26" t="s">
        <v>143</v>
      </c>
      <c r="B26" s="8">
        <v>0.35</v>
      </c>
    </row>
    <row r="27" spans="1:2" ht="15.75" thickBot="1" x14ac:dyDescent="0.3"/>
    <row r="28" spans="1:2" ht="15.75" thickBot="1" x14ac:dyDescent="0.3">
      <c r="A28" t="s">
        <v>141</v>
      </c>
      <c r="B28" s="8">
        <v>15</v>
      </c>
    </row>
    <row r="29" spans="1:2" ht="15.75" thickBot="1" x14ac:dyDescent="0.3"/>
    <row r="30" spans="1:2" ht="15.75" thickBot="1" x14ac:dyDescent="0.3">
      <c r="A30" t="s">
        <v>147</v>
      </c>
      <c r="B30" s="8">
        <v>1</v>
      </c>
    </row>
    <row r="31" spans="1:2" ht="15.75" thickBot="1" x14ac:dyDescent="0.3"/>
    <row r="32" spans="1:2" ht="15.75" thickBot="1" x14ac:dyDescent="0.3">
      <c r="A32" t="s">
        <v>126</v>
      </c>
      <c r="B32" s="8">
        <v>1</v>
      </c>
    </row>
    <row r="33" spans="1:6" ht="15.75" thickBot="1" x14ac:dyDescent="0.3"/>
    <row r="34" spans="1:6" ht="15.75" thickBot="1" x14ac:dyDescent="0.3">
      <c r="A34" t="s">
        <v>211</v>
      </c>
      <c r="B34" s="8">
        <v>7</v>
      </c>
    </row>
    <row r="36" spans="1:6" ht="15.75" thickBot="1" x14ac:dyDescent="0.3">
      <c r="A36" t="s">
        <v>144</v>
      </c>
      <c r="B36">
        <v>1</v>
      </c>
      <c r="C36">
        <v>2</v>
      </c>
      <c r="D36">
        <v>3</v>
      </c>
      <c r="E36">
        <v>4</v>
      </c>
      <c r="F36">
        <v>5</v>
      </c>
    </row>
    <row r="37" spans="1:6" ht="15.75" thickBot="1" x14ac:dyDescent="0.3">
      <c r="A37" t="s">
        <v>134</v>
      </c>
      <c r="B37" s="24">
        <v>2</v>
      </c>
      <c r="C37" s="50">
        <v>3</v>
      </c>
      <c r="D37" s="51">
        <v>4</v>
      </c>
      <c r="E37">
        <v>5</v>
      </c>
      <c r="F37">
        <v>6</v>
      </c>
    </row>
    <row r="38" spans="1:6" ht="15.75" thickBot="1" x14ac:dyDescent="0.3"/>
    <row r="39" spans="1:6" ht="15.75" thickBot="1" x14ac:dyDescent="0.3">
      <c r="A39" t="s">
        <v>135</v>
      </c>
      <c r="B39" s="24">
        <v>1</v>
      </c>
      <c r="C39" s="25">
        <v>3</v>
      </c>
      <c r="D39" s="51">
        <v>4</v>
      </c>
      <c r="E39" t="s">
        <v>252</v>
      </c>
      <c r="F39">
        <v>7</v>
      </c>
    </row>
    <row r="40" spans="1:6" ht="15.75" thickBot="1" x14ac:dyDescent="0.3"/>
    <row r="41" spans="1:6" ht="15.75" thickBot="1" x14ac:dyDescent="0.3">
      <c r="A41" t="s">
        <v>136</v>
      </c>
      <c r="B41" s="24">
        <v>3</v>
      </c>
      <c r="C41" s="25">
        <v>4</v>
      </c>
      <c r="D41" s="51">
        <v>16</v>
      </c>
      <c r="E41">
        <v>16</v>
      </c>
      <c r="F41" t="s">
        <v>252</v>
      </c>
    </row>
    <row r="42" spans="1:6" ht="15.75" thickBot="1" x14ac:dyDescent="0.3"/>
    <row r="43" spans="1:6" ht="15.75" thickBot="1" x14ac:dyDescent="0.3">
      <c r="A43" t="s">
        <v>137</v>
      </c>
      <c r="B43" s="24">
        <v>2</v>
      </c>
      <c r="C43" s="25">
        <v>3</v>
      </c>
      <c r="D43" s="51">
        <v>1</v>
      </c>
      <c r="E43">
        <v>1</v>
      </c>
      <c r="F43" t="s">
        <v>252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71"/>
  <sheetViews>
    <sheetView topLeftCell="B1" workbookViewId="0">
      <selection activeCell="C52" sqref="C52"/>
    </sheetView>
  </sheetViews>
  <sheetFormatPr defaultRowHeight="15" x14ac:dyDescent="0.25"/>
  <cols>
    <col min="1" max="1" width="19" customWidth="1"/>
    <col min="2" max="2" width="22.28515625" bestFit="1" customWidth="1"/>
    <col min="3" max="3" width="33.140625" bestFit="1" customWidth="1"/>
    <col min="4" max="4" width="11.28515625" bestFit="1" customWidth="1"/>
    <col min="5" max="5" width="14.7109375" bestFit="1" customWidth="1"/>
    <col min="6" max="6" width="8.42578125" bestFit="1" customWidth="1"/>
    <col min="7" max="7" width="14.5703125" bestFit="1" customWidth="1"/>
    <col min="8" max="8" width="2.140625" style="1" customWidth="1"/>
    <col min="9" max="9" width="9.140625" customWidth="1"/>
  </cols>
  <sheetData>
    <row r="1" spans="9:15" x14ac:dyDescent="0.25">
      <c r="I1" s="15" t="s">
        <v>0</v>
      </c>
      <c r="J1" s="15"/>
      <c r="K1" s="15"/>
      <c r="L1" s="15"/>
      <c r="M1" s="15"/>
      <c r="N1" s="15"/>
      <c r="O1" s="15"/>
    </row>
    <row r="2" spans="9:15" x14ac:dyDescent="0.25">
      <c r="I2" s="17" t="str">
        <f>"'Created by Hamish Brown using a template made in Excel"</f>
        <v>'Created by Hamish Brown using a template made in Excel</v>
      </c>
      <c r="J2" s="15"/>
      <c r="K2" s="15"/>
      <c r="L2" s="15"/>
      <c r="M2" s="15"/>
      <c r="N2" s="15"/>
      <c r="O2" s="15"/>
    </row>
    <row r="3" spans="9:15" x14ac:dyDescent="0.25">
      <c r="I3" s="15"/>
      <c r="J3" s="15"/>
      <c r="K3" s="15"/>
      <c r="L3" s="15"/>
      <c r="M3" s="15"/>
      <c r="N3" s="15"/>
      <c r="O3" s="15"/>
    </row>
    <row r="4" spans="9:15" x14ac:dyDescent="0.25">
      <c r="I4" s="15" t="s">
        <v>1</v>
      </c>
      <c r="J4" s="15"/>
      <c r="K4" s="15"/>
      <c r="L4" s="15"/>
      <c r="M4" s="15"/>
      <c r="N4" s="15"/>
      <c r="O4" s="15"/>
    </row>
    <row r="5" spans="9:15" x14ac:dyDescent="0.25">
      <c r="I5" s="15" t="s">
        <v>267</v>
      </c>
      <c r="J5" s="15"/>
      <c r="K5" s="15"/>
      <c r="L5" s="15"/>
      <c r="M5" s="15"/>
      <c r="N5" s="15"/>
      <c r="O5" s="15"/>
    </row>
    <row r="6" spans="9:15" x14ac:dyDescent="0.25">
      <c r="I6" s="15" t="s">
        <v>268</v>
      </c>
      <c r="J6" s="15"/>
      <c r="K6" s="15"/>
      <c r="L6" s="15"/>
      <c r="M6" s="15"/>
      <c r="N6" s="15"/>
      <c r="O6" s="15"/>
    </row>
    <row r="7" spans="9:15" x14ac:dyDescent="0.25">
      <c r="I7" s="15" t="s">
        <v>269</v>
      </c>
      <c r="J7" s="15"/>
      <c r="K7" s="15"/>
      <c r="L7" s="15"/>
      <c r="M7" s="15"/>
      <c r="N7" s="15"/>
      <c r="O7" s="15"/>
    </row>
    <row r="8" spans="9:15" x14ac:dyDescent="0.25">
      <c r="I8" s="15" t="s">
        <v>270</v>
      </c>
      <c r="J8" s="15"/>
      <c r="K8" s="15"/>
      <c r="L8" s="15"/>
      <c r="M8" s="15"/>
      <c r="N8" s="15"/>
      <c r="O8" s="15"/>
    </row>
    <row r="9" spans="9:15" x14ac:dyDescent="0.25">
      <c r="I9" s="15"/>
      <c r="J9" s="15"/>
      <c r="K9" s="15"/>
      <c r="L9" s="15"/>
      <c r="M9" s="15"/>
      <c r="N9" s="15"/>
      <c r="O9" s="15"/>
    </row>
    <row r="10" spans="9:15" x14ac:dyDescent="0.25">
      <c r="I10" s="15" t="s">
        <v>2</v>
      </c>
      <c r="J10" s="15"/>
      <c r="K10" s="15"/>
      <c r="L10" s="15"/>
      <c r="M10" s="15"/>
      <c r="N10" s="15"/>
      <c r="O10" s="15"/>
    </row>
    <row r="11" spans="9:15" x14ac:dyDescent="0.25">
      <c r="I11" s="15" t="s">
        <v>3</v>
      </c>
      <c r="J11" s="15"/>
      <c r="K11" s="15"/>
      <c r="L11" s="15"/>
      <c r="M11" s="15"/>
      <c r="N11" s="15"/>
      <c r="O11" s="15"/>
    </row>
    <row r="12" spans="9:15" x14ac:dyDescent="0.25">
      <c r="I12" s="15" t="s">
        <v>88</v>
      </c>
      <c r="J12" s="15"/>
      <c r="K12" s="15"/>
      <c r="L12" s="15"/>
      <c r="M12" s="15"/>
      <c r="N12" s="15"/>
      <c r="O12" s="15"/>
    </row>
    <row r="13" spans="9:15" x14ac:dyDescent="0.25">
      <c r="I13" s="15" t="s">
        <v>89</v>
      </c>
      <c r="J13" s="15"/>
      <c r="K13" s="15"/>
      <c r="L13" s="15"/>
      <c r="M13" s="15"/>
      <c r="N13" s="15"/>
      <c r="O13" s="15"/>
    </row>
    <row r="14" spans="9:15" x14ac:dyDescent="0.25">
      <c r="I14" s="15" t="s">
        <v>90</v>
      </c>
      <c r="J14" s="15"/>
      <c r="K14" s="15"/>
      <c r="L14" s="15"/>
      <c r="M14" s="15"/>
      <c r="N14" s="15"/>
      <c r="O14" s="15"/>
    </row>
    <row r="15" spans="9:15" x14ac:dyDescent="0.25">
      <c r="I15" s="15" t="s">
        <v>91</v>
      </c>
      <c r="J15" s="15"/>
      <c r="K15" s="15"/>
      <c r="L15" s="15"/>
      <c r="M15" s="15"/>
      <c r="N15" s="15"/>
      <c r="O15" s="15"/>
    </row>
    <row r="16" spans="9:15" x14ac:dyDescent="0.25">
      <c r="I16" s="15" t="s">
        <v>112</v>
      </c>
      <c r="J16" s="15"/>
      <c r="K16" s="15"/>
      <c r="L16" s="15"/>
      <c r="M16" s="15"/>
      <c r="N16" s="15"/>
      <c r="O16" s="15"/>
    </row>
    <row r="17" spans="9:15" x14ac:dyDescent="0.25">
      <c r="I17" s="15" t="s">
        <v>122</v>
      </c>
      <c r="J17" s="15"/>
      <c r="K17" s="15"/>
      <c r="L17" s="15"/>
      <c r="M17" s="15"/>
      <c r="N17" s="15"/>
      <c r="O17" s="15"/>
    </row>
    <row r="18" spans="9:15" x14ac:dyDescent="0.25">
      <c r="I18" s="15" t="s">
        <v>138</v>
      </c>
      <c r="J18" s="15"/>
      <c r="K18" s="15"/>
      <c r="L18" s="15"/>
      <c r="M18" s="15"/>
      <c r="N18" s="15"/>
      <c r="O18" s="15"/>
    </row>
    <row r="19" spans="9:15" x14ac:dyDescent="0.25">
      <c r="I19" s="15" t="s">
        <v>213</v>
      </c>
      <c r="J19" s="15"/>
      <c r="K19" s="15"/>
      <c r="L19" s="15"/>
      <c r="M19" s="15"/>
      <c r="N19" s="15"/>
      <c r="O19" s="15"/>
    </row>
    <row r="20" spans="9:15" x14ac:dyDescent="0.25">
      <c r="I20" s="15" t="s">
        <v>221</v>
      </c>
      <c r="J20" s="15"/>
      <c r="K20" s="15"/>
      <c r="L20" s="15"/>
      <c r="M20" s="15"/>
      <c r="N20" s="15"/>
      <c r="O20" s="15"/>
    </row>
    <row r="21" spans="9:15" x14ac:dyDescent="0.25">
      <c r="I21" s="15" t="s">
        <v>222</v>
      </c>
      <c r="J21" s="15"/>
      <c r="K21" s="15"/>
      <c r="L21" s="15"/>
      <c r="M21" s="15"/>
      <c r="N21" s="15"/>
      <c r="O21" s="15"/>
    </row>
    <row r="22" spans="9:15" x14ac:dyDescent="0.25">
      <c r="I22" s="15" t="s">
        <v>223</v>
      </c>
      <c r="J22" s="15"/>
      <c r="K22" s="15"/>
      <c r="L22" s="15"/>
      <c r="M22" s="15"/>
      <c r="N22" s="15"/>
      <c r="O22" s="15"/>
    </row>
    <row r="23" spans="9:15" x14ac:dyDescent="0.25">
      <c r="I23" s="15" t="s">
        <v>224</v>
      </c>
      <c r="J23" s="15"/>
      <c r="K23" s="15"/>
      <c r="L23" s="15"/>
      <c r="M23" s="15"/>
      <c r="N23" s="15"/>
      <c r="O23" s="15"/>
    </row>
    <row r="24" spans="9:15" x14ac:dyDescent="0.25">
      <c r="I24" s="15" t="s">
        <v>225</v>
      </c>
      <c r="J24" s="15"/>
      <c r="K24" s="15"/>
      <c r="L24" s="15"/>
      <c r="M24" s="15"/>
      <c r="N24" s="15"/>
      <c r="O24" s="15"/>
    </row>
    <row r="25" spans="9:15" x14ac:dyDescent="0.25">
      <c r="I25" s="15" t="s">
        <v>226</v>
      </c>
      <c r="J25" s="15"/>
      <c r="K25" s="15"/>
      <c r="L25" s="15"/>
      <c r="M25" s="15"/>
      <c r="N25" s="15"/>
      <c r="O25" s="15"/>
    </row>
    <row r="26" spans="9:15" x14ac:dyDescent="0.25">
      <c r="I26" s="15" t="s">
        <v>227</v>
      </c>
      <c r="J26" s="15"/>
      <c r="K26" s="15"/>
      <c r="L26" s="15"/>
      <c r="M26" s="15"/>
      <c r="N26" s="15"/>
      <c r="O26" s="15"/>
    </row>
    <row r="27" spans="9:15" x14ac:dyDescent="0.25">
      <c r="I27" s="15" t="s">
        <v>277</v>
      </c>
      <c r="J27" s="15"/>
      <c r="K27" s="15"/>
      <c r="L27" s="15"/>
      <c r="M27" s="15"/>
      <c r="N27" s="15"/>
      <c r="O27" s="15"/>
    </row>
    <row r="28" spans="9:15" x14ac:dyDescent="0.25">
      <c r="I28" s="15" t="s">
        <v>285</v>
      </c>
      <c r="J28" s="15"/>
      <c r="K28" s="15"/>
      <c r="L28" s="15"/>
      <c r="M28" s="15"/>
      <c r="N28" s="15"/>
      <c r="O28" s="15"/>
    </row>
    <row r="29" spans="9:15" x14ac:dyDescent="0.25">
      <c r="I29" s="15"/>
      <c r="J29" s="15"/>
      <c r="K29" s="15"/>
      <c r="L29" s="15"/>
      <c r="M29" s="15"/>
      <c r="N29" s="15"/>
      <c r="O29" s="15"/>
    </row>
    <row r="30" spans="9:15" x14ac:dyDescent="0.25">
      <c r="I30" s="15" t="s">
        <v>4</v>
      </c>
      <c r="J30" s="15"/>
      <c r="K30" s="15"/>
      <c r="L30" s="15"/>
      <c r="M30" s="15"/>
      <c r="N30" s="15"/>
      <c r="O30" s="15"/>
    </row>
    <row r="31" spans="9:15" x14ac:dyDescent="0.25">
      <c r="I31" s="15" t="s">
        <v>5</v>
      </c>
      <c r="J31" s="15"/>
      <c r="K31" s="15"/>
      <c r="L31" s="15"/>
      <c r="M31" s="15"/>
      <c r="N31" s="15"/>
      <c r="O31" s="15"/>
    </row>
    <row r="32" spans="9:15" x14ac:dyDescent="0.25">
      <c r="I32" s="15" t="s">
        <v>92</v>
      </c>
      <c r="J32" s="15"/>
      <c r="K32" s="15"/>
      <c r="L32" s="15"/>
      <c r="M32" s="15"/>
      <c r="N32" s="15"/>
      <c r="O32" s="15"/>
    </row>
    <row r="33" spans="9:15" x14ac:dyDescent="0.25">
      <c r="I33" s="15" t="s">
        <v>93</v>
      </c>
      <c r="J33" s="15"/>
      <c r="K33" s="15"/>
      <c r="L33" s="15"/>
      <c r="M33" s="15"/>
      <c r="N33" s="15"/>
      <c r="O33" s="15"/>
    </row>
    <row r="34" spans="9:15" x14ac:dyDescent="0.25">
      <c r="I34" s="15" t="s">
        <v>94</v>
      </c>
      <c r="J34" s="15"/>
      <c r="K34" s="15"/>
      <c r="L34" s="15"/>
      <c r="M34" s="15"/>
      <c r="N34" s="15"/>
      <c r="O34" s="15"/>
    </row>
    <row r="35" spans="9:15" x14ac:dyDescent="0.25">
      <c r="I35" s="15" t="s">
        <v>95</v>
      </c>
      <c r="J35" s="15"/>
      <c r="K35" s="15"/>
      <c r="L35" s="15"/>
      <c r="M35" s="15"/>
      <c r="N35" s="15"/>
      <c r="O35" s="15"/>
    </row>
    <row r="36" spans="9:15" x14ac:dyDescent="0.25">
      <c r="I36" s="15" t="s">
        <v>113</v>
      </c>
      <c r="J36" s="15"/>
      <c r="K36" s="15"/>
      <c r="L36" s="15"/>
      <c r="M36" s="15"/>
      <c r="N36" s="15"/>
      <c r="O36" s="15"/>
    </row>
    <row r="37" spans="9:15" x14ac:dyDescent="0.25">
      <c r="I37" s="15" t="s">
        <v>123</v>
      </c>
      <c r="J37" s="15"/>
      <c r="K37" s="15"/>
      <c r="L37" s="15"/>
      <c r="M37" s="15"/>
      <c r="N37" s="15"/>
      <c r="O37" s="15"/>
    </row>
    <row r="38" spans="9:15" x14ac:dyDescent="0.25">
      <c r="I38" s="15" t="s">
        <v>139</v>
      </c>
      <c r="J38" s="15"/>
      <c r="K38" s="15"/>
      <c r="L38" s="15"/>
      <c r="M38" s="15"/>
      <c r="N38" s="15"/>
      <c r="O38" s="15"/>
    </row>
    <row r="39" spans="9:15" x14ac:dyDescent="0.25">
      <c r="I39" s="15" t="s">
        <v>214</v>
      </c>
      <c r="J39" s="15"/>
      <c r="K39" s="15"/>
      <c r="L39" s="15"/>
      <c r="M39" s="15"/>
      <c r="N39" s="15"/>
      <c r="O39" s="15"/>
    </row>
    <row r="40" spans="9:15" x14ac:dyDescent="0.25">
      <c r="I40" s="15" t="s">
        <v>271</v>
      </c>
      <c r="J40" s="15"/>
      <c r="K40" s="15"/>
      <c r="L40" s="15"/>
      <c r="M40" s="15"/>
      <c r="N40" s="15"/>
      <c r="O40" s="15"/>
    </row>
    <row r="41" spans="9:15" x14ac:dyDescent="0.25">
      <c r="I41" s="15" t="s">
        <v>272</v>
      </c>
      <c r="J41" s="15"/>
      <c r="K41" s="15"/>
      <c r="L41" s="15"/>
      <c r="M41" s="15"/>
      <c r="N41" s="15"/>
      <c r="O41" s="15"/>
    </row>
    <row r="42" spans="9:15" x14ac:dyDescent="0.25">
      <c r="I42" s="15" t="s">
        <v>273</v>
      </c>
      <c r="J42" s="15"/>
      <c r="K42" s="15"/>
      <c r="L42" s="15"/>
      <c r="M42" s="15"/>
      <c r="N42" s="15"/>
      <c r="O42" s="15"/>
    </row>
    <row r="43" spans="9:15" x14ac:dyDescent="0.25">
      <c r="I43" s="15" t="s">
        <v>184</v>
      </c>
      <c r="J43" s="15"/>
      <c r="K43" s="15"/>
      <c r="L43" s="15"/>
      <c r="M43" s="15"/>
      <c r="N43" s="15"/>
      <c r="O43" s="15"/>
    </row>
    <row r="44" spans="9:15" x14ac:dyDescent="0.25">
      <c r="I44" s="15" t="s">
        <v>185</v>
      </c>
      <c r="J44" s="15"/>
      <c r="K44" s="15"/>
      <c r="L44" s="15"/>
      <c r="M44" s="15"/>
      <c r="N44" s="15"/>
      <c r="O44" s="15"/>
    </row>
    <row r="45" spans="9:15" x14ac:dyDescent="0.25">
      <c r="I45" s="15" t="s">
        <v>186</v>
      </c>
      <c r="J45" s="15"/>
      <c r="K45" s="15"/>
      <c r="L45" s="15"/>
      <c r="M45" s="15"/>
      <c r="N45" s="15"/>
      <c r="O45" s="15"/>
    </row>
    <row r="46" spans="9:15" x14ac:dyDescent="0.25">
      <c r="I46" s="15" t="s">
        <v>187</v>
      </c>
      <c r="J46" s="15"/>
      <c r="K46" s="15"/>
      <c r="L46" s="15"/>
      <c r="M46" s="15"/>
      <c r="N46" s="15"/>
      <c r="O46" s="15"/>
    </row>
    <row r="47" spans="9:15" x14ac:dyDescent="0.25">
      <c r="I47" s="15" t="s">
        <v>183</v>
      </c>
      <c r="J47" s="15"/>
      <c r="K47" s="15"/>
      <c r="L47" s="15"/>
      <c r="M47" s="15"/>
      <c r="N47" s="15"/>
      <c r="O47" s="15"/>
    </row>
    <row r="48" spans="9:15" x14ac:dyDescent="0.25">
      <c r="I48" s="15" t="s">
        <v>281</v>
      </c>
      <c r="J48" s="15"/>
      <c r="K48" s="15"/>
      <c r="L48" s="15"/>
      <c r="M48" s="15"/>
      <c r="N48" s="15"/>
      <c r="O48" s="15"/>
    </row>
    <row r="49" spans="2:15" x14ac:dyDescent="0.25">
      <c r="I49" s="15"/>
      <c r="J49" s="15"/>
      <c r="K49" s="15"/>
      <c r="L49" s="15"/>
      <c r="M49" s="15"/>
      <c r="N49" s="15"/>
      <c r="O49" s="15"/>
    </row>
    <row r="50" spans="2:15" x14ac:dyDescent="0.25">
      <c r="I50" s="15" t="s">
        <v>6</v>
      </c>
      <c r="J50" s="15"/>
      <c r="K50" s="15"/>
      <c r="L50" s="15"/>
      <c r="M50" s="15"/>
      <c r="N50" s="15"/>
      <c r="O50" s="15"/>
    </row>
    <row r="51" spans="2:15" x14ac:dyDescent="0.25">
      <c r="I51" s="15" t="str">
        <f>CONCATENATE("DataTable(",DataTableName,",True,-1)")</f>
        <v>DataTable(AllData,True,-1)</v>
      </c>
      <c r="J51" s="15"/>
      <c r="K51" s="15"/>
      <c r="L51" s="15"/>
      <c r="M51" s="15"/>
      <c r="N51" s="15"/>
      <c r="O51" s="15"/>
    </row>
    <row r="52" spans="2:15" x14ac:dyDescent="0.25">
      <c r="I52" s="15"/>
      <c r="J52" s="15" t="str">
        <f>CONCATENATE("DataInterval(0,",DataAveragingFrequecy,",",DataAveragingUnits,",10)")</f>
        <v>DataInterval(0,10,min,10)</v>
      </c>
      <c r="K52" s="15"/>
      <c r="L52" s="15"/>
      <c r="M52" s="15"/>
      <c r="N52" s="15"/>
      <c r="O52" s="15"/>
    </row>
    <row r="53" spans="2:15" x14ac:dyDescent="0.25">
      <c r="I53" s="15"/>
      <c r="J53" s="15" t="s">
        <v>7</v>
      </c>
      <c r="K53" s="15"/>
      <c r="L53" s="15"/>
      <c r="M53" s="15"/>
      <c r="N53" s="15"/>
      <c r="O53" s="15"/>
    </row>
    <row r="54" spans="2:15" x14ac:dyDescent="0.25">
      <c r="I54" s="15"/>
      <c r="J54" s="15" t="s">
        <v>21</v>
      </c>
      <c r="K54" s="15"/>
      <c r="L54" s="15"/>
      <c r="M54" s="15"/>
      <c r="N54" s="15"/>
      <c r="O54" s="15"/>
    </row>
    <row r="55" spans="2:15" x14ac:dyDescent="0.25">
      <c r="I55" s="15"/>
      <c r="J55" s="15" t="s">
        <v>96</v>
      </c>
      <c r="K55" s="15"/>
      <c r="L55" s="15"/>
      <c r="M55" s="15"/>
      <c r="N55" s="15"/>
      <c r="O55" s="15"/>
    </row>
    <row r="56" spans="2:15" x14ac:dyDescent="0.25">
      <c r="I56" s="15"/>
      <c r="J56" s="15" t="s">
        <v>97</v>
      </c>
      <c r="K56" s="15"/>
      <c r="L56" s="15"/>
      <c r="M56" s="15"/>
      <c r="N56" s="15"/>
      <c r="O56" s="15"/>
    </row>
    <row r="57" spans="2:15" x14ac:dyDescent="0.25">
      <c r="I57" s="15"/>
      <c r="J57" s="15" t="s">
        <v>98</v>
      </c>
      <c r="K57" s="15"/>
      <c r="L57" s="15"/>
      <c r="M57" s="15"/>
      <c r="N57" s="15"/>
      <c r="O57" s="15"/>
    </row>
    <row r="58" spans="2:15" x14ac:dyDescent="0.25">
      <c r="I58" s="15"/>
      <c r="J58" s="15" t="s">
        <v>99</v>
      </c>
      <c r="K58" s="15"/>
      <c r="L58" s="15"/>
      <c r="M58" s="15"/>
      <c r="N58" s="15"/>
      <c r="O58" s="15"/>
    </row>
    <row r="59" spans="2:15" x14ac:dyDescent="0.25">
      <c r="I59" s="15"/>
      <c r="J59" s="15" t="s">
        <v>114</v>
      </c>
      <c r="K59" s="15"/>
      <c r="L59" s="15"/>
      <c r="M59" s="15"/>
      <c r="N59" s="15"/>
      <c r="O59" s="15"/>
    </row>
    <row r="60" spans="2:15" x14ac:dyDescent="0.25">
      <c r="I60" s="15"/>
      <c r="J60" s="15" t="s">
        <v>124</v>
      </c>
      <c r="K60" s="15"/>
      <c r="L60" s="15"/>
      <c r="M60" s="15"/>
      <c r="N60" s="15"/>
      <c r="O60" s="15"/>
    </row>
    <row r="61" spans="2:15" x14ac:dyDescent="0.25">
      <c r="I61" s="15"/>
      <c r="J61" s="15" t="s">
        <v>140</v>
      </c>
      <c r="K61" s="15"/>
      <c r="L61" s="15"/>
      <c r="M61" s="15"/>
      <c r="N61" s="15"/>
      <c r="O61" s="15"/>
    </row>
    <row r="62" spans="2:15" x14ac:dyDescent="0.25">
      <c r="I62" s="15"/>
      <c r="J62" s="15" t="s">
        <v>215</v>
      </c>
      <c r="K62" s="15"/>
      <c r="L62" s="15"/>
      <c r="M62" s="15"/>
      <c r="N62" s="15"/>
      <c r="O62" s="15"/>
    </row>
    <row r="63" spans="2:15" x14ac:dyDescent="0.25">
      <c r="B63" s="7" t="s">
        <v>274</v>
      </c>
      <c r="C63">
        <v>1</v>
      </c>
      <c r="E63" t="s">
        <v>20</v>
      </c>
      <c r="I63" s="15"/>
      <c r="J63" s="15" t="str">
        <f t="shared" ref="J63:J94" si="0">CONCATENATE(B63,C63,D63,E63)</f>
        <v>Average(1,SBT_C(1),FP2,False)</v>
      </c>
      <c r="K63" s="15"/>
      <c r="L63" s="15"/>
      <c r="M63" s="15"/>
      <c r="N63" s="15"/>
      <c r="O63" s="15"/>
    </row>
    <row r="64" spans="2:15" x14ac:dyDescent="0.25">
      <c r="B64" t="s">
        <v>274</v>
      </c>
      <c r="C64">
        <f>C63+1</f>
        <v>2</v>
      </c>
      <c r="E64" t="s">
        <v>20</v>
      </c>
      <c r="I64" s="15"/>
      <c r="J64" s="15" t="str">
        <f t="shared" si="0"/>
        <v>Average(1,SBT_C(2),FP2,False)</v>
      </c>
      <c r="K64" s="15"/>
      <c r="L64" s="15"/>
      <c r="M64" s="15"/>
      <c r="N64" s="15"/>
      <c r="O64" s="15"/>
    </row>
    <row r="65" spans="2:15" x14ac:dyDescent="0.25">
      <c r="B65" t="s">
        <v>274</v>
      </c>
      <c r="C65">
        <f t="shared" ref="C65:C110" si="1">C64+1</f>
        <v>3</v>
      </c>
      <c r="E65" t="s">
        <v>20</v>
      </c>
      <c r="I65" s="15"/>
      <c r="J65" s="15" t="str">
        <f t="shared" si="0"/>
        <v>Average(1,SBT_C(3),FP2,False)</v>
      </c>
      <c r="K65" s="15"/>
      <c r="L65" s="15"/>
      <c r="M65" s="15"/>
      <c r="N65" s="15"/>
      <c r="O65" s="15"/>
    </row>
    <row r="66" spans="2:15" x14ac:dyDescent="0.25">
      <c r="B66" t="s">
        <v>274</v>
      </c>
      <c r="C66">
        <f t="shared" si="1"/>
        <v>4</v>
      </c>
      <c r="E66" t="s">
        <v>20</v>
      </c>
      <c r="I66" s="15"/>
      <c r="J66" s="15" t="str">
        <f t="shared" si="0"/>
        <v>Average(1,SBT_C(4),FP2,False)</v>
      </c>
      <c r="K66" s="15"/>
      <c r="L66" s="15"/>
      <c r="M66" s="15"/>
      <c r="N66" s="15"/>
      <c r="O66" s="15"/>
    </row>
    <row r="67" spans="2:15" x14ac:dyDescent="0.25">
      <c r="B67" t="s">
        <v>274</v>
      </c>
      <c r="C67">
        <f t="shared" si="1"/>
        <v>5</v>
      </c>
      <c r="E67" t="s">
        <v>20</v>
      </c>
      <c r="I67" s="15"/>
      <c r="J67" s="15" t="str">
        <f t="shared" si="0"/>
        <v>Average(1,SBT_C(5),FP2,False)</v>
      </c>
      <c r="K67" s="15"/>
      <c r="L67" s="15"/>
      <c r="M67" s="15"/>
      <c r="N67" s="15"/>
      <c r="O67" s="15"/>
    </row>
    <row r="68" spans="2:15" x14ac:dyDescent="0.25">
      <c r="B68" t="s">
        <v>274</v>
      </c>
      <c r="C68">
        <f t="shared" si="1"/>
        <v>6</v>
      </c>
      <c r="E68" t="s">
        <v>20</v>
      </c>
      <c r="I68" s="15"/>
      <c r="J68" s="15" t="str">
        <f t="shared" si="0"/>
        <v>Average(1,SBT_C(6),FP2,False)</v>
      </c>
      <c r="K68" s="15"/>
      <c r="L68" s="15"/>
      <c r="M68" s="15"/>
      <c r="N68" s="15"/>
      <c r="O68" s="15"/>
    </row>
    <row r="69" spans="2:15" x14ac:dyDescent="0.25">
      <c r="B69" t="s">
        <v>274</v>
      </c>
      <c r="C69">
        <f t="shared" si="1"/>
        <v>7</v>
      </c>
      <c r="E69" t="s">
        <v>20</v>
      </c>
      <c r="I69" s="15"/>
      <c r="J69" s="15" t="str">
        <f t="shared" si="0"/>
        <v>Average(1,SBT_C(7),FP2,False)</v>
      </c>
      <c r="K69" s="15"/>
      <c r="L69" s="15"/>
      <c r="M69" s="15"/>
      <c r="N69" s="15"/>
      <c r="O69" s="15"/>
    </row>
    <row r="70" spans="2:15" x14ac:dyDescent="0.25">
      <c r="B70" t="s">
        <v>274</v>
      </c>
      <c r="C70">
        <f t="shared" si="1"/>
        <v>8</v>
      </c>
      <c r="E70" t="s">
        <v>20</v>
      </c>
      <c r="I70" s="15"/>
      <c r="J70" s="15" t="str">
        <f t="shared" si="0"/>
        <v>Average(1,SBT_C(8),FP2,False)</v>
      </c>
      <c r="K70" s="15"/>
      <c r="L70" s="15"/>
      <c r="M70" s="15"/>
      <c r="N70" s="15"/>
      <c r="O70" s="15"/>
    </row>
    <row r="71" spans="2:15" x14ac:dyDescent="0.25">
      <c r="B71" t="s">
        <v>274</v>
      </c>
      <c r="C71">
        <f t="shared" si="1"/>
        <v>9</v>
      </c>
      <c r="E71" t="s">
        <v>20</v>
      </c>
      <c r="I71" s="15"/>
      <c r="J71" s="15" t="str">
        <f t="shared" si="0"/>
        <v>Average(1,SBT_C(9),FP2,False)</v>
      </c>
      <c r="K71" s="15"/>
      <c r="L71" s="15"/>
      <c r="M71" s="15"/>
      <c r="N71" s="15"/>
      <c r="O71" s="15"/>
    </row>
    <row r="72" spans="2:15" x14ac:dyDescent="0.25">
      <c r="B72" t="s">
        <v>274</v>
      </c>
      <c r="C72">
        <f t="shared" si="1"/>
        <v>10</v>
      </c>
      <c r="E72" t="s">
        <v>20</v>
      </c>
      <c r="I72" s="15"/>
      <c r="J72" s="15" t="str">
        <f t="shared" si="0"/>
        <v>Average(1,SBT_C(10),FP2,False)</v>
      </c>
      <c r="K72" s="15"/>
      <c r="L72" s="15"/>
      <c r="M72" s="15"/>
      <c r="N72" s="15"/>
      <c r="O72" s="15"/>
    </row>
    <row r="73" spans="2:15" x14ac:dyDescent="0.25">
      <c r="B73" t="s">
        <v>274</v>
      </c>
      <c r="C73">
        <f t="shared" si="1"/>
        <v>11</v>
      </c>
      <c r="E73" t="s">
        <v>20</v>
      </c>
      <c r="I73" s="15"/>
      <c r="J73" s="15" t="str">
        <f t="shared" si="0"/>
        <v>Average(1,SBT_C(11),FP2,False)</v>
      </c>
      <c r="K73" s="15"/>
      <c r="L73" s="15"/>
      <c r="M73" s="15"/>
      <c r="N73" s="15"/>
      <c r="O73" s="15"/>
    </row>
    <row r="74" spans="2:15" x14ac:dyDescent="0.25">
      <c r="B74" t="s">
        <v>274</v>
      </c>
      <c r="C74">
        <f t="shared" si="1"/>
        <v>12</v>
      </c>
      <c r="E74" t="s">
        <v>20</v>
      </c>
      <c r="I74" s="15"/>
      <c r="J74" s="15" t="str">
        <f t="shared" si="0"/>
        <v>Average(1,SBT_C(12),FP2,False)</v>
      </c>
      <c r="K74" s="15"/>
      <c r="L74" s="15"/>
      <c r="M74" s="15"/>
      <c r="N74" s="15"/>
      <c r="O74" s="15"/>
    </row>
    <row r="75" spans="2:15" x14ac:dyDescent="0.25">
      <c r="B75" t="s">
        <v>274</v>
      </c>
      <c r="C75">
        <f t="shared" si="1"/>
        <v>13</v>
      </c>
      <c r="E75" t="s">
        <v>20</v>
      </c>
      <c r="I75" s="15"/>
      <c r="J75" s="15" t="str">
        <f t="shared" si="0"/>
        <v>Average(1,SBT_C(13),FP2,False)</v>
      </c>
      <c r="K75" s="15"/>
      <c r="L75" s="15"/>
      <c r="M75" s="15"/>
      <c r="N75" s="15"/>
      <c r="O75" s="15"/>
    </row>
    <row r="76" spans="2:15" x14ac:dyDescent="0.25">
      <c r="B76" t="s">
        <v>274</v>
      </c>
      <c r="C76">
        <f t="shared" si="1"/>
        <v>14</v>
      </c>
      <c r="E76" t="s">
        <v>20</v>
      </c>
      <c r="I76" s="15"/>
      <c r="J76" s="15" t="str">
        <f t="shared" si="0"/>
        <v>Average(1,SBT_C(14),FP2,False)</v>
      </c>
      <c r="K76" s="15"/>
      <c r="L76" s="15"/>
      <c r="M76" s="15"/>
      <c r="N76" s="15"/>
      <c r="O76" s="15"/>
    </row>
    <row r="77" spans="2:15" x14ac:dyDescent="0.25">
      <c r="B77" t="s">
        <v>274</v>
      </c>
      <c r="C77">
        <f t="shared" si="1"/>
        <v>15</v>
      </c>
      <c r="E77" t="s">
        <v>20</v>
      </c>
      <c r="I77" s="15"/>
      <c r="J77" s="15" t="str">
        <f t="shared" si="0"/>
        <v>Average(1,SBT_C(15),FP2,False)</v>
      </c>
      <c r="K77" s="15"/>
      <c r="L77" s="15"/>
      <c r="M77" s="15"/>
      <c r="N77" s="15"/>
      <c r="O77" s="15"/>
    </row>
    <row r="78" spans="2:15" x14ac:dyDescent="0.25">
      <c r="B78" t="s">
        <v>274</v>
      </c>
      <c r="C78">
        <f t="shared" si="1"/>
        <v>16</v>
      </c>
      <c r="E78" t="s">
        <v>20</v>
      </c>
      <c r="I78" s="15"/>
      <c r="J78" s="15" t="str">
        <f t="shared" si="0"/>
        <v>Average(1,SBT_C(16),FP2,False)</v>
      </c>
      <c r="K78" s="15"/>
      <c r="L78" s="15"/>
      <c r="M78" s="15"/>
      <c r="N78" s="15"/>
      <c r="O78" s="15"/>
    </row>
    <row r="79" spans="2:15" x14ac:dyDescent="0.25">
      <c r="B79" t="s">
        <v>274</v>
      </c>
      <c r="C79">
        <f t="shared" si="1"/>
        <v>17</v>
      </c>
      <c r="E79" t="s">
        <v>20</v>
      </c>
      <c r="I79" s="15"/>
      <c r="J79" s="15" t="str">
        <f t="shared" si="0"/>
        <v>Average(1,SBT_C(17),FP2,False)</v>
      </c>
      <c r="K79" s="15"/>
      <c r="L79" s="15"/>
      <c r="M79" s="15"/>
      <c r="N79" s="15"/>
      <c r="O79" s="15"/>
    </row>
    <row r="80" spans="2:15" x14ac:dyDescent="0.25">
      <c r="B80" t="s">
        <v>274</v>
      </c>
      <c r="C80">
        <f t="shared" si="1"/>
        <v>18</v>
      </c>
      <c r="E80" t="s">
        <v>20</v>
      </c>
      <c r="I80" s="15"/>
      <c r="J80" s="15" t="str">
        <f t="shared" si="0"/>
        <v>Average(1,SBT_C(18),FP2,False)</v>
      </c>
      <c r="K80" s="15"/>
      <c r="L80" s="15"/>
      <c r="M80" s="15"/>
      <c r="N80" s="15"/>
      <c r="O80" s="15"/>
    </row>
    <row r="81" spans="2:15" x14ac:dyDescent="0.25">
      <c r="B81" t="s">
        <v>274</v>
      </c>
      <c r="C81">
        <f t="shared" si="1"/>
        <v>19</v>
      </c>
      <c r="E81" t="s">
        <v>20</v>
      </c>
      <c r="I81" s="15"/>
      <c r="J81" s="15" t="str">
        <f t="shared" si="0"/>
        <v>Average(1,SBT_C(19),FP2,False)</v>
      </c>
      <c r="K81" s="15"/>
      <c r="L81" s="15"/>
      <c r="M81" s="15"/>
      <c r="N81" s="15"/>
      <c r="O81" s="15"/>
    </row>
    <row r="82" spans="2:15" x14ac:dyDescent="0.25">
      <c r="B82" t="s">
        <v>274</v>
      </c>
      <c r="C82">
        <f t="shared" si="1"/>
        <v>20</v>
      </c>
      <c r="E82" t="s">
        <v>20</v>
      </c>
      <c r="I82" s="15"/>
      <c r="J82" s="15" t="str">
        <f t="shared" si="0"/>
        <v>Average(1,SBT_C(20),FP2,False)</v>
      </c>
      <c r="K82" s="15"/>
      <c r="L82" s="15"/>
      <c r="M82" s="15"/>
      <c r="N82" s="15"/>
      <c r="O82" s="15"/>
    </row>
    <row r="83" spans="2:15" x14ac:dyDescent="0.25">
      <c r="B83" t="s">
        <v>274</v>
      </c>
      <c r="C83">
        <f t="shared" si="1"/>
        <v>21</v>
      </c>
      <c r="E83" t="s">
        <v>20</v>
      </c>
      <c r="I83" s="15"/>
      <c r="J83" s="15" t="str">
        <f t="shared" si="0"/>
        <v>Average(1,SBT_C(21),FP2,False)</v>
      </c>
      <c r="K83" s="15"/>
      <c r="L83" s="15"/>
      <c r="M83" s="15"/>
      <c r="N83" s="15"/>
      <c r="O83" s="15"/>
    </row>
    <row r="84" spans="2:15" x14ac:dyDescent="0.25">
      <c r="B84" t="s">
        <v>274</v>
      </c>
      <c r="C84">
        <f t="shared" si="1"/>
        <v>22</v>
      </c>
      <c r="E84" t="s">
        <v>20</v>
      </c>
      <c r="I84" s="15"/>
      <c r="J84" s="15" t="str">
        <f t="shared" si="0"/>
        <v>Average(1,SBT_C(22),FP2,False)</v>
      </c>
      <c r="K84" s="15"/>
      <c r="L84" s="15"/>
      <c r="M84" s="15"/>
      <c r="N84" s="15"/>
      <c r="O84" s="15"/>
    </row>
    <row r="85" spans="2:15" x14ac:dyDescent="0.25">
      <c r="B85" t="s">
        <v>274</v>
      </c>
      <c r="C85">
        <f t="shared" si="1"/>
        <v>23</v>
      </c>
      <c r="E85" t="s">
        <v>20</v>
      </c>
      <c r="I85" s="15"/>
      <c r="J85" s="15" t="str">
        <f t="shared" si="0"/>
        <v>Average(1,SBT_C(23),FP2,False)</v>
      </c>
      <c r="K85" s="15"/>
      <c r="L85" s="15"/>
      <c r="M85" s="15"/>
      <c r="N85" s="15"/>
      <c r="O85" s="15"/>
    </row>
    <row r="86" spans="2:15" x14ac:dyDescent="0.25">
      <c r="B86" t="s">
        <v>274</v>
      </c>
      <c r="C86">
        <f t="shared" si="1"/>
        <v>24</v>
      </c>
      <c r="E86" t="s">
        <v>20</v>
      </c>
      <c r="I86" s="15"/>
      <c r="J86" s="15" t="str">
        <f t="shared" si="0"/>
        <v>Average(1,SBT_C(24),FP2,False)</v>
      </c>
      <c r="K86" s="15"/>
      <c r="L86" s="15"/>
      <c r="M86" s="15"/>
      <c r="N86" s="15"/>
      <c r="O86" s="15"/>
    </row>
    <row r="87" spans="2:15" x14ac:dyDescent="0.25">
      <c r="B87" s="7" t="s">
        <v>275</v>
      </c>
      <c r="C87">
        <v>1</v>
      </c>
      <c r="E87" t="s">
        <v>20</v>
      </c>
      <c r="I87" s="15"/>
      <c r="J87" s="15" t="str">
        <f t="shared" si="0"/>
        <v>Average(1,TT_C(1),FP2,False)</v>
      </c>
      <c r="K87" s="15"/>
      <c r="L87" s="15"/>
      <c r="M87" s="15"/>
      <c r="N87" s="15"/>
      <c r="O87" s="15"/>
    </row>
    <row r="88" spans="2:15" x14ac:dyDescent="0.25">
      <c r="B88" t="s">
        <v>275</v>
      </c>
      <c r="C88">
        <f t="shared" si="1"/>
        <v>2</v>
      </c>
      <c r="E88" t="s">
        <v>20</v>
      </c>
      <c r="I88" s="15"/>
      <c r="J88" s="15" t="str">
        <f t="shared" si="0"/>
        <v>Average(1,TT_C(2),FP2,False)</v>
      </c>
      <c r="K88" s="15"/>
      <c r="L88" s="15"/>
      <c r="M88" s="15"/>
      <c r="N88" s="15"/>
      <c r="O88" s="15"/>
    </row>
    <row r="89" spans="2:15" x14ac:dyDescent="0.25">
      <c r="B89" t="s">
        <v>275</v>
      </c>
      <c r="C89">
        <f t="shared" si="1"/>
        <v>3</v>
      </c>
      <c r="E89" t="s">
        <v>20</v>
      </c>
      <c r="I89" s="15"/>
      <c r="J89" s="15" t="str">
        <f t="shared" si="0"/>
        <v>Average(1,TT_C(3),FP2,False)</v>
      </c>
      <c r="K89" s="15"/>
      <c r="L89" s="15"/>
      <c r="M89" s="15"/>
      <c r="N89" s="15"/>
      <c r="O89" s="15"/>
    </row>
    <row r="90" spans="2:15" x14ac:dyDescent="0.25">
      <c r="B90" t="s">
        <v>275</v>
      </c>
      <c r="C90">
        <f t="shared" si="1"/>
        <v>4</v>
      </c>
      <c r="E90" t="s">
        <v>20</v>
      </c>
      <c r="I90" s="15"/>
      <c r="J90" s="15" t="str">
        <f t="shared" si="0"/>
        <v>Average(1,TT_C(4),FP2,False)</v>
      </c>
      <c r="K90" s="15"/>
      <c r="L90" s="15"/>
      <c r="M90" s="15"/>
      <c r="N90" s="15"/>
      <c r="O90" s="15"/>
    </row>
    <row r="91" spans="2:15" x14ac:dyDescent="0.25">
      <c r="B91" t="s">
        <v>275</v>
      </c>
      <c r="C91">
        <f t="shared" si="1"/>
        <v>5</v>
      </c>
      <c r="E91" t="s">
        <v>20</v>
      </c>
      <c r="I91" s="15"/>
      <c r="J91" s="15" t="str">
        <f t="shared" si="0"/>
        <v>Average(1,TT_C(5),FP2,False)</v>
      </c>
      <c r="K91" s="15"/>
      <c r="L91" s="15"/>
      <c r="M91" s="15"/>
      <c r="N91" s="15"/>
      <c r="O91" s="15"/>
    </row>
    <row r="92" spans="2:15" x14ac:dyDescent="0.25">
      <c r="B92" t="s">
        <v>275</v>
      </c>
      <c r="C92">
        <f t="shared" si="1"/>
        <v>6</v>
      </c>
      <c r="E92" t="s">
        <v>20</v>
      </c>
      <c r="I92" s="15"/>
      <c r="J92" s="15" t="str">
        <f t="shared" si="0"/>
        <v>Average(1,TT_C(6),FP2,False)</v>
      </c>
      <c r="K92" s="15"/>
      <c r="L92" s="15"/>
      <c r="M92" s="15"/>
      <c r="N92" s="15"/>
      <c r="O92" s="15"/>
    </row>
    <row r="93" spans="2:15" x14ac:dyDescent="0.25">
      <c r="B93" t="s">
        <v>275</v>
      </c>
      <c r="C93">
        <f t="shared" si="1"/>
        <v>7</v>
      </c>
      <c r="E93" t="s">
        <v>20</v>
      </c>
      <c r="I93" s="15"/>
      <c r="J93" s="15" t="str">
        <f t="shared" si="0"/>
        <v>Average(1,TT_C(7),FP2,False)</v>
      </c>
      <c r="K93" s="15"/>
      <c r="L93" s="15"/>
      <c r="M93" s="15"/>
      <c r="N93" s="15"/>
      <c r="O93" s="15"/>
    </row>
    <row r="94" spans="2:15" x14ac:dyDescent="0.25">
      <c r="B94" t="s">
        <v>275</v>
      </c>
      <c r="C94">
        <f t="shared" si="1"/>
        <v>8</v>
      </c>
      <c r="E94" t="s">
        <v>20</v>
      </c>
      <c r="I94" s="15"/>
      <c r="J94" s="15" t="str">
        <f t="shared" si="0"/>
        <v>Average(1,TT_C(8),FP2,False)</v>
      </c>
      <c r="K94" s="15"/>
      <c r="L94" s="15"/>
      <c r="M94" s="15"/>
      <c r="N94" s="15"/>
      <c r="O94" s="15"/>
    </row>
    <row r="95" spans="2:15" x14ac:dyDescent="0.25">
      <c r="B95" t="s">
        <v>275</v>
      </c>
      <c r="C95">
        <f t="shared" si="1"/>
        <v>9</v>
      </c>
      <c r="E95" t="s">
        <v>20</v>
      </c>
      <c r="I95" s="15"/>
      <c r="J95" s="15" t="str">
        <f t="shared" ref="J95:J126" si="2">CONCATENATE(B95,C95,D95,E95)</f>
        <v>Average(1,TT_C(9),FP2,False)</v>
      </c>
      <c r="K95" s="15"/>
      <c r="L95" s="15"/>
      <c r="M95" s="15"/>
      <c r="N95" s="15"/>
      <c r="O95" s="15"/>
    </row>
    <row r="96" spans="2:15" x14ac:dyDescent="0.25">
      <c r="B96" t="s">
        <v>275</v>
      </c>
      <c r="C96">
        <f t="shared" si="1"/>
        <v>10</v>
      </c>
      <c r="E96" t="s">
        <v>20</v>
      </c>
      <c r="I96" s="15"/>
      <c r="J96" s="15" t="str">
        <f t="shared" si="2"/>
        <v>Average(1,TT_C(10),FP2,False)</v>
      </c>
      <c r="K96" s="15"/>
      <c r="L96" s="15"/>
      <c r="M96" s="15"/>
      <c r="N96" s="15"/>
      <c r="O96" s="15"/>
    </row>
    <row r="97" spans="2:15" x14ac:dyDescent="0.25">
      <c r="B97" t="s">
        <v>275</v>
      </c>
      <c r="C97">
        <f t="shared" si="1"/>
        <v>11</v>
      </c>
      <c r="E97" t="s">
        <v>20</v>
      </c>
      <c r="I97" s="15"/>
      <c r="J97" s="15" t="str">
        <f t="shared" si="2"/>
        <v>Average(1,TT_C(11),FP2,False)</v>
      </c>
      <c r="K97" s="15"/>
      <c r="L97" s="15"/>
      <c r="M97" s="15"/>
      <c r="N97" s="15"/>
      <c r="O97" s="15"/>
    </row>
    <row r="98" spans="2:15" x14ac:dyDescent="0.25">
      <c r="B98" t="s">
        <v>275</v>
      </c>
      <c r="C98">
        <f t="shared" si="1"/>
        <v>12</v>
      </c>
      <c r="E98" t="s">
        <v>20</v>
      </c>
      <c r="I98" s="15"/>
      <c r="J98" s="15" t="str">
        <f t="shared" si="2"/>
        <v>Average(1,TT_C(12),FP2,False)</v>
      </c>
      <c r="K98" s="15"/>
      <c r="L98" s="15"/>
      <c r="M98" s="15"/>
      <c r="N98" s="15"/>
      <c r="O98" s="15"/>
    </row>
    <row r="99" spans="2:15" x14ac:dyDescent="0.25">
      <c r="B99" t="s">
        <v>275</v>
      </c>
      <c r="C99">
        <f t="shared" si="1"/>
        <v>13</v>
      </c>
      <c r="E99" t="s">
        <v>20</v>
      </c>
      <c r="I99" s="15"/>
      <c r="J99" s="15" t="str">
        <f t="shared" si="2"/>
        <v>Average(1,TT_C(13),FP2,False)</v>
      </c>
      <c r="K99" s="15"/>
      <c r="L99" s="15"/>
      <c r="M99" s="15"/>
      <c r="N99" s="15"/>
      <c r="O99" s="15"/>
    </row>
    <row r="100" spans="2:15" x14ac:dyDescent="0.25">
      <c r="B100" t="s">
        <v>275</v>
      </c>
      <c r="C100">
        <f t="shared" si="1"/>
        <v>14</v>
      </c>
      <c r="E100" t="s">
        <v>20</v>
      </c>
      <c r="I100" s="15"/>
      <c r="J100" s="15" t="str">
        <f t="shared" si="2"/>
        <v>Average(1,TT_C(14),FP2,False)</v>
      </c>
      <c r="K100" s="15"/>
      <c r="L100" s="15"/>
      <c r="M100" s="15"/>
      <c r="N100" s="15"/>
      <c r="O100" s="15"/>
    </row>
    <row r="101" spans="2:15" x14ac:dyDescent="0.25">
      <c r="B101" t="s">
        <v>275</v>
      </c>
      <c r="C101">
        <f t="shared" si="1"/>
        <v>15</v>
      </c>
      <c r="E101" t="s">
        <v>20</v>
      </c>
      <c r="I101" s="15"/>
      <c r="J101" s="15" t="str">
        <f t="shared" si="2"/>
        <v>Average(1,TT_C(15),FP2,False)</v>
      </c>
      <c r="K101" s="15"/>
      <c r="L101" s="15"/>
      <c r="M101" s="15"/>
      <c r="N101" s="15"/>
      <c r="O101" s="15"/>
    </row>
    <row r="102" spans="2:15" x14ac:dyDescent="0.25">
      <c r="B102" t="s">
        <v>275</v>
      </c>
      <c r="C102">
        <f t="shared" si="1"/>
        <v>16</v>
      </c>
      <c r="E102" t="s">
        <v>20</v>
      </c>
      <c r="I102" s="15"/>
      <c r="J102" s="15" t="str">
        <f t="shared" si="2"/>
        <v>Average(1,TT_C(16),FP2,False)</v>
      </c>
      <c r="K102" s="15"/>
      <c r="L102" s="15"/>
      <c r="M102" s="15"/>
      <c r="N102" s="15"/>
      <c r="O102" s="15"/>
    </row>
    <row r="103" spans="2:15" x14ac:dyDescent="0.25">
      <c r="B103" t="s">
        <v>275</v>
      </c>
      <c r="C103">
        <f t="shared" si="1"/>
        <v>17</v>
      </c>
      <c r="E103" t="s">
        <v>20</v>
      </c>
      <c r="I103" s="15"/>
      <c r="J103" s="15" t="str">
        <f t="shared" si="2"/>
        <v>Average(1,TT_C(17),FP2,False)</v>
      </c>
      <c r="K103" s="15"/>
      <c r="L103" s="15"/>
      <c r="M103" s="15"/>
      <c r="N103" s="15"/>
      <c r="O103" s="15"/>
    </row>
    <row r="104" spans="2:15" x14ac:dyDescent="0.25">
      <c r="B104" t="s">
        <v>275</v>
      </c>
      <c r="C104">
        <f t="shared" si="1"/>
        <v>18</v>
      </c>
      <c r="E104" t="s">
        <v>20</v>
      </c>
      <c r="I104" s="15"/>
      <c r="J104" s="15" t="str">
        <f t="shared" si="2"/>
        <v>Average(1,TT_C(18),FP2,False)</v>
      </c>
      <c r="K104" s="15"/>
      <c r="L104" s="15"/>
      <c r="M104" s="15"/>
      <c r="N104" s="15"/>
      <c r="O104" s="15"/>
    </row>
    <row r="105" spans="2:15" x14ac:dyDescent="0.25">
      <c r="B105" t="s">
        <v>275</v>
      </c>
      <c r="C105">
        <f t="shared" si="1"/>
        <v>19</v>
      </c>
      <c r="E105" t="s">
        <v>20</v>
      </c>
      <c r="I105" s="15"/>
      <c r="J105" s="15" t="str">
        <f t="shared" si="2"/>
        <v>Average(1,TT_C(19),FP2,False)</v>
      </c>
      <c r="K105" s="15"/>
      <c r="L105" s="15"/>
      <c r="M105" s="15"/>
      <c r="N105" s="15"/>
      <c r="O105" s="15"/>
    </row>
    <row r="106" spans="2:15" x14ac:dyDescent="0.25">
      <c r="B106" t="s">
        <v>275</v>
      </c>
      <c r="C106">
        <f t="shared" si="1"/>
        <v>20</v>
      </c>
      <c r="E106" t="s">
        <v>20</v>
      </c>
      <c r="I106" s="15"/>
      <c r="J106" s="15" t="str">
        <f t="shared" si="2"/>
        <v>Average(1,TT_C(20),FP2,False)</v>
      </c>
      <c r="K106" s="15"/>
      <c r="L106" s="15"/>
      <c r="M106" s="15"/>
      <c r="N106" s="15"/>
      <c r="O106" s="15"/>
    </row>
    <row r="107" spans="2:15" x14ac:dyDescent="0.25">
      <c r="B107" t="s">
        <v>275</v>
      </c>
      <c r="C107">
        <f t="shared" si="1"/>
        <v>21</v>
      </c>
      <c r="E107" t="s">
        <v>20</v>
      </c>
      <c r="I107" s="15"/>
      <c r="J107" s="15" t="str">
        <f t="shared" si="2"/>
        <v>Average(1,TT_C(21),FP2,False)</v>
      </c>
      <c r="K107" s="15"/>
      <c r="L107" s="15"/>
      <c r="M107" s="15"/>
      <c r="N107" s="15"/>
      <c r="O107" s="15"/>
    </row>
    <row r="108" spans="2:15" x14ac:dyDescent="0.25">
      <c r="B108" t="s">
        <v>275</v>
      </c>
      <c r="C108">
        <f t="shared" si="1"/>
        <v>22</v>
      </c>
      <c r="E108" t="s">
        <v>20</v>
      </c>
      <c r="I108" s="15"/>
      <c r="J108" s="15" t="str">
        <f t="shared" si="2"/>
        <v>Average(1,TT_C(22),FP2,False)</v>
      </c>
      <c r="K108" s="15"/>
      <c r="L108" s="15"/>
      <c r="M108" s="15"/>
      <c r="N108" s="15"/>
      <c r="O108" s="15"/>
    </row>
    <row r="109" spans="2:15" x14ac:dyDescent="0.25">
      <c r="B109" t="s">
        <v>275</v>
      </c>
      <c r="C109">
        <f t="shared" si="1"/>
        <v>23</v>
      </c>
      <c r="E109" t="s">
        <v>20</v>
      </c>
      <c r="I109" s="15"/>
      <c r="J109" s="15" t="str">
        <f t="shared" si="2"/>
        <v>Average(1,TT_C(23),FP2,False)</v>
      </c>
      <c r="K109" s="15"/>
      <c r="L109" s="15"/>
      <c r="M109" s="15"/>
      <c r="N109" s="15"/>
      <c r="O109" s="15"/>
    </row>
    <row r="110" spans="2:15" x14ac:dyDescent="0.25">
      <c r="B110" t="s">
        <v>275</v>
      </c>
      <c r="C110">
        <f t="shared" si="1"/>
        <v>24</v>
      </c>
      <c r="E110" t="s">
        <v>20</v>
      </c>
      <c r="I110" s="15"/>
      <c r="J110" s="15" t="str">
        <f t="shared" si="2"/>
        <v>Average(1,TT_C(24),FP2,False)</v>
      </c>
      <c r="K110" s="15"/>
      <c r="L110" s="15"/>
      <c r="M110" s="15"/>
      <c r="N110" s="15"/>
      <c r="O110" s="15"/>
    </row>
    <row r="111" spans="2:15" x14ac:dyDescent="0.25">
      <c r="B111" s="7" t="s">
        <v>276</v>
      </c>
      <c r="C111">
        <v>1</v>
      </c>
      <c r="E111" t="s">
        <v>20</v>
      </c>
      <c r="I111" s="15"/>
      <c r="J111" s="15" t="str">
        <f t="shared" si="2"/>
        <v>Average(1,TTmV(1),FP2,False)</v>
      </c>
      <c r="K111" s="15"/>
      <c r="L111" s="15"/>
      <c r="M111" s="15"/>
      <c r="N111" s="15"/>
      <c r="O111" s="15"/>
    </row>
    <row r="112" spans="2:15" x14ac:dyDescent="0.25">
      <c r="B112" t="s">
        <v>276</v>
      </c>
      <c r="C112">
        <f>C111+1</f>
        <v>2</v>
      </c>
      <c r="E112" t="s">
        <v>20</v>
      </c>
      <c r="I112" s="15"/>
      <c r="J112" s="15" t="str">
        <f t="shared" si="2"/>
        <v>Average(1,TTmV(2),FP2,False)</v>
      </c>
      <c r="K112" s="15"/>
      <c r="L112" s="15"/>
      <c r="M112" s="15"/>
      <c r="N112" s="15"/>
      <c r="O112" s="15"/>
    </row>
    <row r="113" spans="2:15" x14ac:dyDescent="0.25">
      <c r="B113" t="s">
        <v>276</v>
      </c>
      <c r="C113">
        <f t="shared" ref="C113:C134" si="3">C112+1</f>
        <v>3</v>
      </c>
      <c r="E113" t="s">
        <v>20</v>
      </c>
      <c r="I113" s="15"/>
      <c r="J113" s="15" t="str">
        <f t="shared" si="2"/>
        <v>Average(1,TTmV(3),FP2,False)</v>
      </c>
      <c r="K113" s="15"/>
      <c r="L113" s="15"/>
      <c r="M113" s="15"/>
      <c r="N113" s="15"/>
      <c r="O113" s="15"/>
    </row>
    <row r="114" spans="2:15" x14ac:dyDescent="0.25">
      <c r="B114" t="s">
        <v>276</v>
      </c>
      <c r="C114">
        <f t="shared" si="3"/>
        <v>4</v>
      </c>
      <c r="E114" t="s">
        <v>20</v>
      </c>
      <c r="I114" s="15"/>
      <c r="J114" s="15" t="str">
        <f t="shared" si="2"/>
        <v>Average(1,TTmV(4),FP2,False)</v>
      </c>
      <c r="K114" s="15"/>
      <c r="L114" s="15"/>
      <c r="M114" s="15"/>
      <c r="N114" s="15"/>
      <c r="O114" s="15"/>
    </row>
    <row r="115" spans="2:15" x14ac:dyDescent="0.25">
      <c r="B115" t="s">
        <v>276</v>
      </c>
      <c r="C115">
        <f t="shared" si="3"/>
        <v>5</v>
      </c>
      <c r="E115" t="s">
        <v>20</v>
      </c>
      <c r="I115" s="15"/>
      <c r="J115" s="15" t="str">
        <f t="shared" si="2"/>
        <v>Average(1,TTmV(5),FP2,False)</v>
      </c>
      <c r="K115" s="15"/>
      <c r="L115" s="15"/>
      <c r="M115" s="15"/>
      <c r="N115" s="15"/>
      <c r="O115" s="15"/>
    </row>
    <row r="116" spans="2:15" x14ac:dyDescent="0.25">
      <c r="B116" t="s">
        <v>276</v>
      </c>
      <c r="C116">
        <f t="shared" si="3"/>
        <v>6</v>
      </c>
      <c r="E116" t="s">
        <v>20</v>
      </c>
      <c r="I116" s="15"/>
      <c r="J116" s="15" t="str">
        <f t="shared" si="2"/>
        <v>Average(1,TTmV(6),FP2,False)</v>
      </c>
      <c r="K116" s="15"/>
      <c r="L116" s="15"/>
      <c r="M116" s="15"/>
      <c r="N116" s="15"/>
      <c r="O116" s="15"/>
    </row>
    <row r="117" spans="2:15" x14ac:dyDescent="0.25">
      <c r="B117" t="s">
        <v>276</v>
      </c>
      <c r="C117">
        <f t="shared" si="3"/>
        <v>7</v>
      </c>
      <c r="E117" t="s">
        <v>20</v>
      </c>
      <c r="I117" s="15"/>
      <c r="J117" s="15" t="str">
        <f t="shared" si="2"/>
        <v>Average(1,TTmV(7),FP2,False)</v>
      </c>
      <c r="K117" s="15"/>
      <c r="L117" s="15"/>
      <c r="M117" s="15"/>
      <c r="N117" s="15"/>
      <c r="O117" s="15"/>
    </row>
    <row r="118" spans="2:15" x14ac:dyDescent="0.25">
      <c r="B118" t="s">
        <v>276</v>
      </c>
      <c r="C118">
        <f t="shared" si="3"/>
        <v>8</v>
      </c>
      <c r="E118" t="s">
        <v>20</v>
      </c>
      <c r="I118" s="15"/>
      <c r="J118" s="15" t="str">
        <f t="shared" si="2"/>
        <v>Average(1,TTmV(8),FP2,False)</v>
      </c>
      <c r="K118" s="15"/>
      <c r="L118" s="15"/>
      <c r="M118" s="15"/>
      <c r="N118" s="15"/>
      <c r="O118" s="15"/>
    </row>
    <row r="119" spans="2:15" x14ac:dyDescent="0.25">
      <c r="B119" t="s">
        <v>276</v>
      </c>
      <c r="C119">
        <f t="shared" si="3"/>
        <v>9</v>
      </c>
      <c r="E119" t="s">
        <v>20</v>
      </c>
      <c r="I119" s="15"/>
      <c r="J119" s="15" t="str">
        <f t="shared" si="2"/>
        <v>Average(1,TTmV(9),FP2,False)</v>
      </c>
      <c r="K119" s="15"/>
      <c r="L119" s="15"/>
      <c r="M119" s="15"/>
      <c r="N119" s="15"/>
      <c r="O119" s="15"/>
    </row>
    <row r="120" spans="2:15" x14ac:dyDescent="0.25">
      <c r="B120" t="s">
        <v>276</v>
      </c>
      <c r="C120">
        <f t="shared" si="3"/>
        <v>10</v>
      </c>
      <c r="E120" t="s">
        <v>20</v>
      </c>
      <c r="I120" s="15"/>
      <c r="J120" s="15" t="str">
        <f t="shared" si="2"/>
        <v>Average(1,TTmV(10),FP2,False)</v>
      </c>
      <c r="K120" s="15"/>
      <c r="L120" s="15"/>
      <c r="M120" s="15"/>
      <c r="N120" s="15"/>
      <c r="O120" s="15"/>
    </row>
    <row r="121" spans="2:15" x14ac:dyDescent="0.25">
      <c r="B121" t="s">
        <v>276</v>
      </c>
      <c r="C121">
        <f t="shared" si="3"/>
        <v>11</v>
      </c>
      <c r="E121" t="s">
        <v>20</v>
      </c>
      <c r="I121" s="15"/>
      <c r="J121" s="15" t="str">
        <f t="shared" si="2"/>
        <v>Average(1,TTmV(11),FP2,False)</v>
      </c>
      <c r="K121" s="15"/>
      <c r="L121" s="15"/>
      <c r="M121" s="15"/>
      <c r="N121" s="15"/>
      <c r="O121" s="15"/>
    </row>
    <row r="122" spans="2:15" x14ac:dyDescent="0.25">
      <c r="B122" t="s">
        <v>276</v>
      </c>
      <c r="C122">
        <f t="shared" si="3"/>
        <v>12</v>
      </c>
      <c r="E122" t="s">
        <v>20</v>
      </c>
      <c r="I122" s="15"/>
      <c r="J122" s="15" t="str">
        <f t="shared" si="2"/>
        <v>Average(1,TTmV(12),FP2,False)</v>
      </c>
      <c r="K122" s="15"/>
      <c r="L122" s="15"/>
      <c r="M122" s="15"/>
      <c r="N122" s="15"/>
      <c r="O122" s="15"/>
    </row>
    <row r="123" spans="2:15" x14ac:dyDescent="0.25">
      <c r="B123" t="s">
        <v>276</v>
      </c>
      <c r="C123">
        <f t="shared" si="3"/>
        <v>13</v>
      </c>
      <c r="E123" t="s">
        <v>20</v>
      </c>
      <c r="I123" s="15"/>
      <c r="J123" s="15" t="str">
        <f t="shared" si="2"/>
        <v>Average(1,TTmV(13),FP2,False)</v>
      </c>
      <c r="K123" s="15"/>
      <c r="L123" s="15"/>
      <c r="M123" s="15"/>
      <c r="N123" s="15"/>
      <c r="O123" s="15"/>
    </row>
    <row r="124" spans="2:15" x14ac:dyDescent="0.25">
      <c r="B124" t="s">
        <v>276</v>
      </c>
      <c r="C124">
        <f t="shared" si="3"/>
        <v>14</v>
      </c>
      <c r="E124" t="s">
        <v>20</v>
      </c>
      <c r="I124" s="15"/>
      <c r="J124" s="15" t="str">
        <f t="shared" si="2"/>
        <v>Average(1,TTmV(14),FP2,False)</v>
      </c>
      <c r="K124" s="15"/>
      <c r="L124" s="15"/>
      <c r="M124" s="15"/>
      <c r="N124" s="15"/>
      <c r="O124" s="15"/>
    </row>
    <row r="125" spans="2:15" x14ac:dyDescent="0.25">
      <c r="B125" t="s">
        <v>276</v>
      </c>
      <c r="C125">
        <f t="shared" si="3"/>
        <v>15</v>
      </c>
      <c r="E125" t="s">
        <v>20</v>
      </c>
      <c r="I125" s="15"/>
      <c r="J125" s="15" t="str">
        <f t="shared" si="2"/>
        <v>Average(1,TTmV(15),FP2,False)</v>
      </c>
      <c r="K125" s="15"/>
      <c r="L125" s="15"/>
      <c r="M125" s="15"/>
      <c r="N125" s="15"/>
      <c r="O125" s="15"/>
    </row>
    <row r="126" spans="2:15" x14ac:dyDescent="0.25">
      <c r="B126" t="s">
        <v>276</v>
      </c>
      <c r="C126">
        <f t="shared" si="3"/>
        <v>16</v>
      </c>
      <c r="E126" t="s">
        <v>20</v>
      </c>
      <c r="I126" s="15"/>
      <c r="J126" s="15" t="str">
        <f t="shared" si="2"/>
        <v>Average(1,TTmV(16),FP2,False)</v>
      </c>
      <c r="K126" s="15"/>
      <c r="L126" s="15"/>
      <c r="M126" s="15"/>
      <c r="N126" s="15"/>
      <c r="O126" s="15"/>
    </row>
    <row r="127" spans="2:15" x14ac:dyDescent="0.25">
      <c r="B127" t="s">
        <v>276</v>
      </c>
      <c r="C127">
        <f t="shared" si="3"/>
        <v>17</v>
      </c>
      <c r="E127" t="s">
        <v>20</v>
      </c>
      <c r="I127" s="15"/>
      <c r="J127" s="15" t="str">
        <f t="shared" ref="J127:J142" si="4">CONCATENATE(B127,C127,D127,E127)</f>
        <v>Average(1,TTmV(17),FP2,False)</v>
      </c>
      <c r="K127" s="15"/>
      <c r="L127" s="15"/>
      <c r="M127" s="15"/>
      <c r="N127" s="15"/>
      <c r="O127" s="15"/>
    </row>
    <row r="128" spans="2:15" x14ac:dyDescent="0.25">
      <c r="B128" t="s">
        <v>276</v>
      </c>
      <c r="C128">
        <f t="shared" si="3"/>
        <v>18</v>
      </c>
      <c r="E128" t="s">
        <v>20</v>
      </c>
      <c r="I128" s="15"/>
      <c r="J128" s="15" t="str">
        <f t="shared" si="4"/>
        <v>Average(1,TTmV(18),FP2,False)</v>
      </c>
      <c r="K128" s="15"/>
      <c r="L128" s="15"/>
      <c r="M128" s="15"/>
      <c r="N128" s="15"/>
      <c r="O128" s="15"/>
    </row>
    <row r="129" spans="2:15" x14ac:dyDescent="0.25">
      <c r="B129" t="s">
        <v>276</v>
      </c>
      <c r="C129">
        <f t="shared" si="3"/>
        <v>19</v>
      </c>
      <c r="E129" t="s">
        <v>20</v>
      </c>
      <c r="I129" s="15"/>
      <c r="J129" s="15" t="str">
        <f t="shared" si="4"/>
        <v>Average(1,TTmV(19),FP2,False)</v>
      </c>
      <c r="K129" s="15"/>
      <c r="L129" s="15"/>
      <c r="M129" s="15"/>
      <c r="N129" s="15"/>
      <c r="O129" s="15"/>
    </row>
    <row r="130" spans="2:15" x14ac:dyDescent="0.25">
      <c r="B130" t="s">
        <v>276</v>
      </c>
      <c r="C130">
        <f t="shared" si="3"/>
        <v>20</v>
      </c>
      <c r="E130" t="s">
        <v>20</v>
      </c>
      <c r="I130" s="15"/>
      <c r="J130" s="15" t="str">
        <f t="shared" si="4"/>
        <v>Average(1,TTmV(20),FP2,False)</v>
      </c>
      <c r="K130" s="15"/>
      <c r="L130" s="15"/>
      <c r="M130" s="15"/>
      <c r="N130" s="15"/>
      <c r="O130" s="15"/>
    </row>
    <row r="131" spans="2:15" x14ac:dyDescent="0.25">
      <c r="B131" t="s">
        <v>276</v>
      </c>
      <c r="C131">
        <f t="shared" si="3"/>
        <v>21</v>
      </c>
      <c r="E131" t="s">
        <v>20</v>
      </c>
      <c r="I131" s="15"/>
      <c r="J131" s="15" t="str">
        <f t="shared" si="4"/>
        <v>Average(1,TTmV(21),FP2,False)</v>
      </c>
      <c r="K131" s="15"/>
      <c r="L131" s="15"/>
      <c r="M131" s="15"/>
      <c r="N131" s="15"/>
      <c r="O131" s="15"/>
    </row>
    <row r="132" spans="2:15" x14ac:dyDescent="0.25">
      <c r="B132" t="s">
        <v>276</v>
      </c>
      <c r="C132">
        <f t="shared" si="3"/>
        <v>22</v>
      </c>
      <c r="E132" t="s">
        <v>20</v>
      </c>
      <c r="I132" s="15"/>
      <c r="J132" s="15" t="str">
        <f t="shared" si="4"/>
        <v>Average(1,TTmV(22),FP2,False)</v>
      </c>
      <c r="K132" s="15"/>
      <c r="L132" s="15"/>
      <c r="M132" s="15"/>
      <c r="N132" s="15"/>
      <c r="O132" s="15"/>
    </row>
    <row r="133" spans="2:15" x14ac:dyDescent="0.25">
      <c r="B133" t="s">
        <v>276</v>
      </c>
      <c r="C133">
        <f t="shared" si="3"/>
        <v>23</v>
      </c>
      <c r="E133" t="s">
        <v>20</v>
      </c>
      <c r="I133" s="15"/>
      <c r="J133" s="15" t="str">
        <f t="shared" si="4"/>
        <v>Average(1,TTmV(23),FP2,False)</v>
      </c>
      <c r="K133" s="15"/>
      <c r="L133" s="15"/>
      <c r="M133" s="15"/>
      <c r="N133" s="15"/>
      <c r="O133" s="15"/>
    </row>
    <row r="134" spans="2:15" x14ac:dyDescent="0.25">
      <c r="B134" t="s">
        <v>276</v>
      </c>
      <c r="C134">
        <f t="shared" si="3"/>
        <v>24</v>
      </c>
      <c r="E134" t="s">
        <v>20</v>
      </c>
      <c r="I134" s="15"/>
      <c r="J134" s="15" t="str">
        <f t="shared" si="4"/>
        <v>Average(1,TTmV(24),FP2,False)</v>
      </c>
      <c r="K134" s="15"/>
      <c r="L134" s="15"/>
      <c r="M134" s="15"/>
      <c r="N134" s="15"/>
      <c r="O134" s="15"/>
    </row>
    <row r="135" spans="2:15" x14ac:dyDescent="0.25">
      <c r="B135" t="s">
        <v>207</v>
      </c>
      <c r="C135" s="21">
        <v>1</v>
      </c>
      <c r="E135" t="s">
        <v>20</v>
      </c>
      <c r="I135" s="15"/>
      <c r="J135" s="15" t="str">
        <f t="shared" si="4"/>
        <v>Average(1, SoilSurfTC(1),FP2,False)</v>
      </c>
      <c r="K135" s="15"/>
      <c r="L135" s="15"/>
      <c r="M135" s="15"/>
      <c r="N135" s="15"/>
      <c r="O135" s="15"/>
    </row>
    <row r="136" spans="2:15" x14ac:dyDescent="0.25">
      <c r="B136" t="s">
        <v>207</v>
      </c>
      <c r="C136">
        <f>C135+1</f>
        <v>2</v>
      </c>
      <c r="E136" t="s">
        <v>20</v>
      </c>
      <c r="I136" s="15"/>
      <c r="J136" s="15" t="str">
        <f t="shared" si="4"/>
        <v>Average(1, SoilSurfTC(2),FP2,False)</v>
      </c>
      <c r="K136" s="15"/>
      <c r="L136" s="15"/>
      <c r="M136" s="15"/>
      <c r="N136" s="15"/>
      <c r="O136" s="15"/>
    </row>
    <row r="137" spans="2:15" x14ac:dyDescent="0.25">
      <c r="B137" t="s">
        <v>207</v>
      </c>
      <c r="C137">
        <f t="shared" ref="C137:C166" si="5">C136+1</f>
        <v>3</v>
      </c>
      <c r="E137" t="s">
        <v>20</v>
      </c>
      <c r="I137" s="15"/>
      <c r="J137" s="15" t="str">
        <f t="shared" si="4"/>
        <v>Average(1, SoilSurfTC(3),FP2,False)</v>
      </c>
      <c r="K137" s="15"/>
      <c r="L137" s="15"/>
      <c r="M137" s="15"/>
      <c r="N137" s="15"/>
      <c r="O137" s="15"/>
    </row>
    <row r="138" spans="2:15" x14ac:dyDescent="0.25">
      <c r="B138" t="s">
        <v>207</v>
      </c>
      <c r="C138">
        <f t="shared" si="5"/>
        <v>4</v>
      </c>
      <c r="E138" t="s">
        <v>20</v>
      </c>
      <c r="I138" s="15"/>
      <c r="J138" s="15" t="str">
        <f t="shared" si="4"/>
        <v>Average(1, SoilSurfTC(4),FP2,False)</v>
      </c>
      <c r="K138" s="15"/>
      <c r="L138" s="15"/>
      <c r="M138" s="15"/>
      <c r="N138" s="15"/>
      <c r="O138" s="15"/>
    </row>
    <row r="139" spans="2:15" x14ac:dyDescent="0.25">
      <c r="B139" t="s">
        <v>207</v>
      </c>
      <c r="C139">
        <f t="shared" si="5"/>
        <v>5</v>
      </c>
      <c r="E139" t="s">
        <v>20</v>
      </c>
      <c r="I139" s="15"/>
      <c r="J139" s="15" t="str">
        <f t="shared" si="4"/>
        <v>Average(1, SoilSurfTC(5),FP2,False)</v>
      </c>
      <c r="K139" s="15"/>
      <c r="L139" s="15"/>
      <c r="M139" s="15"/>
      <c r="N139" s="15"/>
      <c r="O139" s="15"/>
    </row>
    <row r="140" spans="2:15" x14ac:dyDescent="0.25">
      <c r="B140" t="s">
        <v>207</v>
      </c>
      <c r="C140">
        <f t="shared" si="5"/>
        <v>6</v>
      </c>
      <c r="E140" t="s">
        <v>20</v>
      </c>
      <c r="I140" s="15"/>
      <c r="J140" s="15" t="str">
        <f t="shared" si="4"/>
        <v>Average(1, SoilSurfTC(6),FP2,False)</v>
      </c>
      <c r="K140" s="15"/>
      <c r="L140" s="15"/>
      <c r="M140" s="15"/>
      <c r="N140" s="15"/>
      <c r="O140" s="15"/>
    </row>
    <row r="141" spans="2:15" x14ac:dyDescent="0.25">
      <c r="B141" t="s">
        <v>207</v>
      </c>
      <c r="C141">
        <f t="shared" si="5"/>
        <v>7</v>
      </c>
      <c r="E141" t="s">
        <v>20</v>
      </c>
      <c r="I141" s="15"/>
      <c r="J141" s="15" t="str">
        <f t="shared" si="4"/>
        <v>Average(1, SoilSurfTC(7),FP2,False)</v>
      </c>
      <c r="K141" s="15"/>
      <c r="L141" s="15"/>
      <c r="M141" s="15"/>
      <c r="N141" s="15"/>
      <c r="O141" s="15"/>
    </row>
    <row r="142" spans="2:15" x14ac:dyDescent="0.25">
      <c r="B142" t="s">
        <v>207</v>
      </c>
      <c r="C142">
        <f t="shared" si="5"/>
        <v>8</v>
      </c>
      <c r="E142" t="s">
        <v>20</v>
      </c>
      <c r="I142" s="15"/>
      <c r="J142" s="15" t="str">
        <f t="shared" si="4"/>
        <v>Average(1, SoilSurfTC(8),FP2,False)</v>
      </c>
      <c r="K142" s="15"/>
      <c r="L142" s="15"/>
      <c r="M142" s="15"/>
      <c r="N142" s="15"/>
      <c r="O142" s="15"/>
    </row>
    <row r="143" spans="2:15" x14ac:dyDescent="0.25">
      <c r="B143" t="s">
        <v>207</v>
      </c>
      <c r="C143">
        <f t="shared" si="5"/>
        <v>9</v>
      </c>
      <c r="E143" t="s">
        <v>20</v>
      </c>
      <c r="I143" s="15"/>
      <c r="J143" s="15" t="str">
        <f t="shared" ref="J143:J170" si="6">CONCATENATE(B143,C143,D143,E143)</f>
        <v>Average(1, SoilSurfTC(9),FP2,False)</v>
      </c>
      <c r="K143" s="15"/>
      <c r="L143" s="15"/>
      <c r="M143" s="15"/>
      <c r="N143" s="15"/>
      <c r="O143" s="15"/>
    </row>
    <row r="144" spans="2:15" x14ac:dyDescent="0.25">
      <c r="B144" t="s">
        <v>207</v>
      </c>
      <c r="C144">
        <f t="shared" si="5"/>
        <v>10</v>
      </c>
      <c r="E144" t="s">
        <v>20</v>
      </c>
      <c r="I144" s="15"/>
      <c r="J144" s="15" t="str">
        <f t="shared" si="6"/>
        <v>Average(1, SoilSurfTC(10),FP2,False)</v>
      </c>
      <c r="K144" s="15"/>
      <c r="L144" s="15"/>
      <c r="M144" s="15"/>
      <c r="N144" s="15"/>
      <c r="O144" s="15"/>
    </row>
    <row r="145" spans="2:15" x14ac:dyDescent="0.25">
      <c r="B145" t="s">
        <v>207</v>
      </c>
      <c r="C145">
        <f t="shared" si="5"/>
        <v>11</v>
      </c>
      <c r="E145" t="s">
        <v>20</v>
      </c>
      <c r="I145" s="15"/>
      <c r="J145" s="15" t="str">
        <f t="shared" si="6"/>
        <v>Average(1, SoilSurfTC(11),FP2,False)</v>
      </c>
      <c r="K145" s="15"/>
      <c r="L145" s="15"/>
      <c r="M145" s="15"/>
      <c r="N145" s="15"/>
      <c r="O145" s="15"/>
    </row>
    <row r="146" spans="2:15" x14ac:dyDescent="0.25">
      <c r="B146" t="s">
        <v>207</v>
      </c>
      <c r="C146">
        <f t="shared" si="5"/>
        <v>12</v>
      </c>
      <c r="E146" t="s">
        <v>20</v>
      </c>
      <c r="I146" s="15"/>
      <c r="J146" s="15" t="str">
        <f t="shared" si="6"/>
        <v>Average(1, SoilSurfTC(12),FP2,False)</v>
      </c>
      <c r="K146" s="15"/>
      <c r="L146" s="15"/>
      <c r="M146" s="15"/>
      <c r="N146" s="15"/>
      <c r="O146" s="15"/>
    </row>
    <row r="147" spans="2:15" x14ac:dyDescent="0.25">
      <c r="B147" t="s">
        <v>207</v>
      </c>
      <c r="C147">
        <f t="shared" ref="C147:C158" si="7">C146+1</f>
        <v>13</v>
      </c>
      <c r="E147" t="s">
        <v>20</v>
      </c>
      <c r="I147" s="15"/>
      <c r="J147" s="15" t="str">
        <f t="shared" ref="J147:J158" si="8">CONCATENATE(B147,C147,D147,E147)</f>
        <v>Average(1, SoilSurfTC(13),FP2,False)</v>
      </c>
      <c r="K147" s="15"/>
      <c r="L147" s="15"/>
      <c r="M147" s="15"/>
      <c r="N147" s="15"/>
      <c r="O147" s="15"/>
    </row>
    <row r="148" spans="2:15" x14ac:dyDescent="0.25">
      <c r="B148" t="s">
        <v>207</v>
      </c>
      <c r="C148">
        <f t="shared" si="7"/>
        <v>14</v>
      </c>
      <c r="E148" t="s">
        <v>20</v>
      </c>
      <c r="I148" s="15"/>
      <c r="J148" s="15" t="str">
        <f t="shared" si="8"/>
        <v>Average(1, SoilSurfTC(14),FP2,False)</v>
      </c>
      <c r="K148" s="15"/>
      <c r="L148" s="15"/>
      <c r="M148" s="15"/>
      <c r="N148" s="15"/>
      <c r="O148" s="15"/>
    </row>
    <row r="149" spans="2:15" x14ac:dyDescent="0.25">
      <c r="B149" t="s">
        <v>207</v>
      </c>
      <c r="C149">
        <f t="shared" si="7"/>
        <v>15</v>
      </c>
      <c r="E149" t="s">
        <v>20</v>
      </c>
      <c r="I149" s="15"/>
      <c r="J149" s="15" t="str">
        <f t="shared" si="8"/>
        <v>Average(1, SoilSurfTC(15),FP2,False)</v>
      </c>
      <c r="K149" s="15"/>
      <c r="L149" s="15"/>
      <c r="M149" s="15"/>
      <c r="N149" s="15"/>
      <c r="O149" s="15"/>
    </row>
    <row r="150" spans="2:15" x14ac:dyDescent="0.25">
      <c r="B150" t="s">
        <v>207</v>
      </c>
      <c r="C150">
        <f t="shared" si="7"/>
        <v>16</v>
      </c>
      <c r="E150" t="s">
        <v>20</v>
      </c>
      <c r="I150" s="15"/>
      <c r="J150" s="15" t="str">
        <f t="shared" si="8"/>
        <v>Average(1, SoilSurfTC(16),FP2,False)</v>
      </c>
      <c r="K150" s="15"/>
      <c r="L150" s="15"/>
      <c r="M150" s="15"/>
      <c r="N150" s="15"/>
      <c r="O150" s="15"/>
    </row>
    <row r="151" spans="2:15" x14ac:dyDescent="0.25">
      <c r="B151" t="s">
        <v>207</v>
      </c>
      <c r="C151">
        <f t="shared" si="7"/>
        <v>17</v>
      </c>
      <c r="E151" t="s">
        <v>20</v>
      </c>
      <c r="I151" s="15"/>
      <c r="J151" s="15" t="str">
        <f t="shared" si="8"/>
        <v>Average(1, SoilSurfTC(17),FP2,False)</v>
      </c>
      <c r="K151" s="15"/>
      <c r="L151" s="15"/>
      <c r="M151" s="15"/>
      <c r="N151" s="15"/>
      <c r="O151" s="15"/>
    </row>
    <row r="152" spans="2:15" x14ac:dyDescent="0.25">
      <c r="B152" t="s">
        <v>207</v>
      </c>
      <c r="C152">
        <f t="shared" si="7"/>
        <v>18</v>
      </c>
      <c r="E152" t="s">
        <v>20</v>
      </c>
      <c r="I152" s="15"/>
      <c r="J152" s="15" t="str">
        <f t="shared" si="8"/>
        <v>Average(1, SoilSurfTC(18),FP2,False)</v>
      </c>
      <c r="K152" s="15"/>
      <c r="L152" s="15"/>
      <c r="M152" s="15"/>
      <c r="N152" s="15"/>
      <c r="O152" s="15"/>
    </row>
    <row r="153" spans="2:15" x14ac:dyDescent="0.25">
      <c r="B153" t="s">
        <v>207</v>
      </c>
      <c r="C153">
        <f t="shared" si="7"/>
        <v>19</v>
      </c>
      <c r="E153" t="s">
        <v>20</v>
      </c>
      <c r="I153" s="15"/>
      <c r="J153" s="15" t="str">
        <f t="shared" si="8"/>
        <v>Average(1, SoilSurfTC(19),FP2,False)</v>
      </c>
      <c r="K153" s="15"/>
      <c r="L153" s="15"/>
      <c r="M153" s="15"/>
      <c r="N153" s="15"/>
      <c r="O153" s="15"/>
    </row>
    <row r="154" spans="2:15" x14ac:dyDescent="0.25">
      <c r="B154" t="s">
        <v>207</v>
      </c>
      <c r="C154">
        <f t="shared" si="7"/>
        <v>20</v>
      </c>
      <c r="E154" t="s">
        <v>20</v>
      </c>
      <c r="I154" s="15"/>
      <c r="J154" s="15" t="str">
        <f t="shared" si="8"/>
        <v>Average(1, SoilSurfTC(20),FP2,False)</v>
      </c>
      <c r="K154" s="15"/>
      <c r="L154" s="15"/>
      <c r="M154" s="15"/>
      <c r="N154" s="15"/>
      <c r="O154" s="15"/>
    </row>
    <row r="155" spans="2:15" x14ac:dyDescent="0.25">
      <c r="B155" t="s">
        <v>207</v>
      </c>
      <c r="C155">
        <f t="shared" si="7"/>
        <v>21</v>
      </c>
      <c r="E155" t="s">
        <v>20</v>
      </c>
      <c r="I155" s="15"/>
      <c r="J155" s="15" t="str">
        <f t="shared" si="8"/>
        <v>Average(1, SoilSurfTC(21),FP2,False)</v>
      </c>
      <c r="K155" s="15"/>
      <c r="L155" s="15"/>
      <c r="M155" s="15"/>
      <c r="N155" s="15"/>
      <c r="O155" s="15"/>
    </row>
    <row r="156" spans="2:15" x14ac:dyDescent="0.25">
      <c r="B156" t="s">
        <v>207</v>
      </c>
      <c r="C156">
        <f t="shared" si="7"/>
        <v>22</v>
      </c>
      <c r="E156" t="s">
        <v>20</v>
      </c>
      <c r="I156" s="15"/>
      <c r="J156" s="15" t="str">
        <f t="shared" si="8"/>
        <v>Average(1, SoilSurfTC(22),FP2,False)</v>
      </c>
      <c r="K156" s="15"/>
      <c r="L156" s="15"/>
      <c r="M156" s="15"/>
      <c r="N156" s="15"/>
      <c r="O156" s="15"/>
    </row>
    <row r="157" spans="2:15" x14ac:dyDescent="0.25">
      <c r="B157" t="s">
        <v>207</v>
      </c>
      <c r="C157">
        <f t="shared" si="7"/>
        <v>23</v>
      </c>
      <c r="E157" t="s">
        <v>20</v>
      </c>
      <c r="I157" s="15"/>
      <c r="J157" s="15" t="str">
        <f t="shared" si="8"/>
        <v>Average(1, SoilSurfTC(23),FP2,False)</v>
      </c>
      <c r="K157" s="15"/>
      <c r="L157" s="15"/>
      <c r="M157" s="15"/>
      <c r="N157" s="15"/>
      <c r="O157" s="15"/>
    </row>
    <row r="158" spans="2:15" x14ac:dyDescent="0.25">
      <c r="B158" t="s">
        <v>207</v>
      </c>
      <c r="C158">
        <f t="shared" si="7"/>
        <v>24</v>
      </c>
      <c r="E158" t="s">
        <v>20</v>
      </c>
      <c r="I158" s="15"/>
      <c r="J158" s="15" t="str">
        <f t="shared" si="8"/>
        <v>Average(1, SoilSurfTC(24),FP2,False)</v>
      </c>
      <c r="K158" s="15"/>
      <c r="L158" s="15"/>
      <c r="M158" s="15"/>
      <c r="N158" s="15"/>
      <c r="O158" s="15"/>
    </row>
    <row r="159" spans="2:15" x14ac:dyDescent="0.25">
      <c r="B159" t="s">
        <v>204</v>
      </c>
      <c r="C159" s="21">
        <v>1</v>
      </c>
      <c r="E159" t="s">
        <v>20</v>
      </c>
      <c r="I159" s="15"/>
      <c r="J159" s="15" t="str">
        <f t="shared" si="6"/>
        <v>Average(1,HeatFlux(1),FP2,False)</v>
      </c>
      <c r="K159" s="15"/>
      <c r="L159" s="15"/>
      <c r="M159" s="15"/>
      <c r="N159" s="15"/>
      <c r="O159" s="15"/>
    </row>
    <row r="160" spans="2:15" x14ac:dyDescent="0.25">
      <c r="B160" t="s">
        <v>204</v>
      </c>
      <c r="C160">
        <f t="shared" si="5"/>
        <v>2</v>
      </c>
      <c r="E160" t="s">
        <v>20</v>
      </c>
      <c r="I160" s="15"/>
      <c r="J160" s="15" t="str">
        <f t="shared" si="6"/>
        <v>Average(1,HeatFlux(2),FP2,False)</v>
      </c>
      <c r="K160" s="15"/>
      <c r="L160" s="15"/>
      <c r="M160" s="15"/>
      <c r="N160" s="15"/>
      <c r="O160" s="15"/>
    </row>
    <row r="161" spans="2:15" x14ac:dyDescent="0.25">
      <c r="B161" t="s">
        <v>204</v>
      </c>
      <c r="C161">
        <f t="shared" si="5"/>
        <v>3</v>
      </c>
      <c r="E161" t="s">
        <v>20</v>
      </c>
      <c r="I161" s="15"/>
      <c r="J161" s="15" t="str">
        <f t="shared" si="6"/>
        <v>Average(1,HeatFlux(3),FP2,False)</v>
      </c>
      <c r="K161" s="15"/>
      <c r="L161" s="15"/>
      <c r="M161" s="15"/>
      <c r="N161" s="15"/>
      <c r="O161" s="15"/>
    </row>
    <row r="162" spans="2:15" x14ac:dyDescent="0.25">
      <c r="B162" t="s">
        <v>204</v>
      </c>
      <c r="C162">
        <f t="shared" si="5"/>
        <v>4</v>
      </c>
      <c r="E162" t="s">
        <v>20</v>
      </c>
      <c r="I162" s="15"/>
      <c r="J162" s="15" t="str">
        <f t="shared" si="6"/>
        <v>Average(1,HeatFlux(4),FP2,False)</v>
      </c>
      <c r="K162" s="15"/>
      <c r="L162" s="15"/>
      <c r="M162" s="15"/>
      <c r="N162" s="15"/>
      <c r="O162" s="15"/>
    </row>
    <row r="163" spans="2:15" x14ac:dyDescent="0.25">
      <c r="B163" t="s">
        <v>204</v>
      </c>
      <c r="C163">
        <f t="shared" si="5"/>
        <v>5</v>
      </c>
      <c r="E163" t="s">
        <v>20</v>
      </c>
      <c r="I163" s="15"/>
      <c r="J163" s="15" t="str">
        <f t="shared" si="6"/>
        <v>Average(1,HeatFlux(5),FP2,False)</v>
      </c>
      <c r="K163" s="15"/>
      <c r="L163" s="15"/>
      <c r="M163" s="15"/>
      <c r="N163" s="15"/>
      <c r="O163" s="15"/>
    </row>
    <row r="164" spans="2:15" x14ac:dyDescent="0.25">
      <c r="B164" t="s">
        <v>204</v>
      </c>
      <c r="C164">
        <f t="shared" si="5"/>
        <v>6</v>
      </c>
      <c r="E164" t="s">
        <v>20</v>
      </c>
      <c r="I164" s="15"/>
      <c r="J164" s="15" t="str">
        <f t="shared" si="6"/>
        <v>Average(1,HeatFlux(6),FP2,False)</v>
      </c>
      <c r="K164" s="15"/>
      <c r="L164" s="15"/>
      <c r="M164" s="15"/>
      <c r="N164" s="15"/>
      <c r="O164" s="15"/>
    </row>
    <row r="165" spans="2:15" x14ac:dyDescent="0.25">
      <c r="B165" t="s">
        <v>204</v>
      </c>
      <c r="C165">
        <f t="shared" si="5"/>
        <v>7</v>
      </c>
      <c r="E165" t="s">
        <v>20</v>
      </c>
      <c r="I165" s="15"/>
      <c r="J165" s="15" t="str">
        <f t="shared" si="6"/>
        <v>Average(1,HeatFlux(7),FP2,False)</v>
      </c>
      <c r="K165" s="15"/>
      <c r="L165" s="15"/>
      <c r="M165" s="15"/>
      <c r="N165" s="15"/>
      <c r="O165" s="15"/>
    </row>
    <row r="166" spans="2:15" x14ac:dyDescent="0.25">
      <c r="B166" t="s">
        <v>204</v>
      </c>
      <c r="C166">
        <f t="shared" si="5"/>
        <v>8</v>
      </c>
      <c r="E166" t="s">
        <v>20</v>
      </c>
      <c r="I166" s="15"/>
      <c r="J166" s="15" t="str">
        <f t="shared" si="6"/>
        <v>Average(1,HeatFlux(8),FP2,False)</v>
      </c>
      <c r="K166" s="15"/>
      <c r="L166" s="15"/>
      <c r="M166" s="15"/>
      <c r="N166" s="15"/>
      <c r="O166" s="15"/>
    </row>
    <row r="167" spans="2:15" x14ac:dyDescent="0.25">
      <c r="B167" t="s">
        <v>204</v>
      </c>
      <c r="C167">
        <f t="shared" ref="C167:C172" si="9">C166+1</f>
        <v>9</v>
      </c>
      <c r="E167" t="s">
        <v>20</v>
      </c>
      <c r="I167" s="15"/>
      <c r="J167" s="15" t="str">
        <f t="shared" si="6"/>
        <v>Average(1,HeatFlux(9),FP2,False)</v>
      </c>
      <c r="K167" s="15"/>
      <c r="L167" s="15"/>
      <c r="M167" s="15"/>
      <c r="N167" s="15"/>
      <c r="O167" s="15"/>
    </row>
    <row r="168" spans="2:15" x14ac:dyDescent="0.25">
      <c r="B168" t="s">
        <v>204</v>
      </c>
      <c r="C168">
        <f t="shared" si="9"/>
        <v>10</v>
      </c>
      <c r="E168" t="s">
        <v>20</v>
      </c>
      <c r="I168" s="15"/>
      <c r="J168" s="15" t="str">
        <f t="shared" si="6"/>
        <v>Average(1,HeatFlux(10),FP2,False)</v>
      </c>
      <c r="K168" s="15"/>
      <c r="L168" s="15"/>
      <c r="M168" s="15"/>
      <c r="N168" s="15"/>
      <c r="O168" s="15"/>
    </row>
    <row r="169" spans="2:15" x14ac:dyDescent="0.25">
      <c r="B169" t="s">
        <v>204</v>
      </c>
      <c r="C169">
        <f t="shared" si="9"/>
        <v>11</v>
      </c>
      <c r="E169" t="s">
        <v>20</v>
      </c>
      <c r="I169" s="15"/>
      <c r="J169" s="15" t="str">
        <f t="shared" si="6"/>
        <v>Average(1,HeatFlux(11),FP2,False)</v>
      </c>
      <c r="K169" s="15"/>
      <c r="L169" s="15"/>
      <c r="M169" s="15"/>
      <c r="N169" s="15"/>
      <c r="O169" s="15"/>
    </row>
    <row r="170" spans="2:15" x14ac:dyDescent="0.25">
      <c r="B170" t="s">
        <v>204</v>
      </c>
      <c r="C170">
        <f t="shared" si="9"/>
        <v>12</v>
      </c>
      <c r="E170" t="s">
        <v>20</v>
      </c>
      <c r="I170" s="15"/>
      <c r="J170" s="15" t="str">
        <f t="shared" si="6"/>
        <v>Average(1,HeatFlux(12),FP2,False)</v>
      </c>
      <c r="K170" s="15"/>
      <c r="L170" s="15"/>
      <c r="M170" s="15"/>
      <c r="N170" s="15"/>
      <c r="O170" s="15"/>
    </row>
    <row r="171" spans="2:15" x14ac:dyDescent="0.25">
      <c r="B171" t="s">
        <v>205</v>
      </c>
      <c r="C171" s="21">
        <v>1</v>
      </c>
      <c r="E171" t="s">
        <v>20</v>
      </c>
      <c r="I171" s="15"/>
      <c r="J171" s="15" t="str">
        <f>CONCATENATE(B171,C171,D171,E171)</f>
        <v>Average(1,SlrReflectkW(1),FP2,False)</v>
      </c>
      <c r="K171" s="15"/>
      <c r="L171" s="15"/>
      <c r="M171" s="15"/>
      <c r="N171" s="15"/>
      <c r="O171" s="15"/>
    </row>
    <row r="172" spans="2:15" x14ac:dyDescent="0.25">
      <c r="B172" t="s">
        <v>205</v>
      </c>
      <c r="C172">
        <f t="shared" si="9"/>
        <v>2</v>
      </c>
      <c r="E172" t="s">
        <v>20</v>
      </c>
      <c r="I172" s="15"/>
      <c r="J172" s="15" t="str">
        <f>CONCATENATE(B172,C172,D172,E172)</f>
        <v>Average(1,SlrReflectkW(2),FP2,False)</v>
      </c>
      <c r="K172" s="15"/>
      <c r="L172" s="15"/>
      <c r="M172" s="15"/>
      <c r="N172" s="15"/>
      <c r="O172" s="15"/>
    </row>
    <row r="173" spans="2:15" x14ac:dyDescent="0.25">
      <c r="B173" t="s">
        <v>205</v>
      </c>
      <c r="C173">
        <f t="shared" ref="C173:C202" si="10">C172+1</f>
        <v>3</v>
      </c>
      <c r="E173" t="s">
        <v>20</v>
      </c>
      <c r="I173" s="15"/>
      <c r="J173" s="15" t="str">
        <f t="shared" ref="J173:J182" si="11">CONCATENATE(B173,C173,D173,E173)</f>
        <v>Average(1,SlrReflectkW(3),FP2,False)</v>
      </c>
      <c r="K173" s="15"/>
      <c r="L173" s="15"/>
      <c r="M173" s="15"/>
      <c r="N173" s="15"/>
      <c r="O173" s="15"/>
    </row>
    <row r="174" spans="2:15" x14ac:dyDescent="0.25">
      <c r="B174" t="s">
        <v>205</v>
      </c>
      <c r="C174">
        <f t="shared" si="10"/>
        <v>4</v>
      </c>
      <c r="E174" t="s">
        <v>20</v>
      </c>
      <c r="I174" s="15"/>
      <c r="J174" s="15" t="str">
        <f t="shared" si="11"/>
        <v>Average(1,SlrReflectkW(4),FP2,False)</v>
      </c>
      <c r="K174" s="15"/>
      <c r="L174" s="15"/>
      <c r="M174" s="15"/>
      <c r="N174" s="15"/>
      <c r="O174" s="15"/>
    </row>
    <row r="175" spans="2:15" x14ac:dyDescent="0.25">
      <c r="B175" t="s">
        <v>205</v>
      </c>
      <c r="C175">
        <f t="shared" si="10"/>
        <v>5</v>
      </c>
      <c r="E175" t="s">
        <v>20</v>
      </c>
      <c r="I175" s="15"/>
      <c r="J175" s="15" t="str">
        <f t="shared" si="11"/>
        <v>Average(1,SlrReflectkW(5),FP2,False)</v>
      </c>
      <c r="K175" s="15"/>
      <c r="L175" s="15"/>
      <c r="M175" s="15"/>
      <c r="N175" s="15"/>
      <c r="O175" s="15"/>
    </row>
    <row r="176" spans="2:15" x14ac:dyDescent="0.25">
      <c r="B176" t="s">
        <v>205</v>
      </c>
      <c r="C176">
        <f t="shared" si="10"/>
        <v>6</v>
      </c>
      <c r="E176" t="s">
        <v>20</v>
      </c>
      <c r="I176" s="15"/>
      <c r="J176" s="15" t="str">
        <f t="shared" si="11"/>
        <v>Average(1,SlrReflectkW(6),FP2,False)</v>
      </c>
      <c r="K176" s="15"/>
      <c r="L176" s="15"/>
      <c r="M176" s="15"/>
      <c r="N176" s="15"/>
      <c r="O176" s="15"/>
    </row>
    <row r="177" spans="2:15" x14ac:dyDescent="0.25">
      <c r="B177" t="s">
        <v>205</v>
      </c>
      <c r="C177">
        <f t="shared" si="10"/>
        <v>7</v>
      </c>
      <c r="E177" t="s">
        <v>20</v>
      </c>
      <c r="I177" s="15"/>
      <c r="J177" s="15" t="str">
        <f t="shared" si="11"/>
        <v>Average(1,SlrReflectkW(7),FP2,False)</v>
      </c>
      <c r="K177" s="15"/>
      <c r="L177" s="15"/>
      <c r="M177" s="15"/>
      <c r="N177" s="15"/>
      <c r="O177" s="15"/>
    </row>
    <row r="178" spans="2:15" x14ac:dyDescent="0.25">
      <c r="B178" t="s">
        <v>205</v>
      </c>
      <c r="C178">
        <f t="shared" si="10"/>
        <v>8</v>
      </c>
      <c r="E178" t="s">
        <v>20</v>
      </c>
      <c r="I178" s="15"/>
      <c r="J178" s="15" t="str">
        <f t="shared" si="11"/>
        <v>Average(1,SlrReflectkW(8),FP2,False)</v>
      </c>
      <c r="K178" s="15"/>
      <c r="L178" s="15"/>
      <c r="M178" s="15"/>
      <c r="N178" s="15"/>
      <c r="O178" s="15"/>
    </row>
    <row r="179" spans="2:15" x14ac:dyDescent="0.25">
      <c r="B179" t="s">
        <v>205</v>
      </c>
      <c r="C179">
        <f t="shared" si="10"/>
        <v>9</v>
      </c>
      <c r="E179" t="s">
        <v>20</v>
      </c>
      <c r="I179" s="15"/>
      <c r="J179" s="15" t="str">
        <f t="shared" si="11"/>
        <v>Average(1,SlrReflectkW(9),FP2,False)</v>
      </c>
      <c r="K179" s="15"/>
      <c r="L179" s="15"/>
      <c r="M179" s="15"/>
      <c r="N179" s="15"/>
      <c r="O179" s="15"/>
    </row>
    <row r="180" spans="2:15" x14ac:dyDescent="0.25">
      <c r="B180" t="s">
        <v>205</v>
      </c>
      <c r="C180">
        <f t="shared" si="10"/>
        <v>10</v>
      </c>
      <c r="E180" t="s">
        <v>20</v>
      </c>
      <c r="I180" s="15"/>
      <c r="J180" s="15" t="str">
        <f t="shared" si="11"/>
        <v>Average(1,SlrReflectkW(10),FP2,False)</v>
      </c>
      <c r="K180" s="15"/>
      <c r="L180" s="15"/>
      <c r="M180" s="15"/>
      <c r="N180" s="15"/>
      <c r="O180" s="15"/>
    </row>
    <row r="181" spans="2:15" x14ac:dyDescent="0.25">
      <c r="B181" t="s">
        <v>205</v>
      </c>
      <c r="C181">
        <f t="shared" si="10"/>
        <v>11</v>
      </c>
      <c r="E181" t="s">
        <v>20</v>
      </c>
      <c r="I181" s="15"/>
      <c r="J181" s="15" t="str">
        <f t="shared" si="11"/>
        <v>Average(1,SlrReflectkW(11),FP2,False)</v>
      </c>
      <c r="K181" s="15"/>
      <c r="L181" s="15"/>
      <c r="M181" s="15"/>
      <c r="N181" s="15"/>
      <c r="O181" s="15"/>
    </row>
    <row r="182" spans="2:15" x14ac:dyDescent="0.25">
      <c r="B182" t="s">
        <v>205</v>
      </c>
      <c r="C182">
        <f t="shared" si="10"/>
        <v>12</v>
      </c>
      <c r="E182" t="s">
        <v>20</v>
      </c>
      <c r="I182" s="15"/>
      <c r="J182" s="15" t="str">
        <f t="shared" si="11"/>
        <v>Average(1,SlrReflectkW(12),FP2,False)</v>
      </c>
      <c r="K182" s="15"/>
      <c r="L182" s="15"/>
      <c r="M182" s="15"/>
      <c r="N182" s="15"/>
      <c r="O182" s="15"/>
    </row>
    <row r="183" spans="2:15" x14ac:dyDescent="0.25">
      <c r="B183" t="s">
        <v>206</v>
      </c>
      <c r="C183" s="21">
        <v>1</v>
      </c>
      <c r="E183" t="s">
        <v>20</v>
      </c>
      <c r="I183" s="15"/>
      <c r="J183" s="15" t="str">
        <f t="shared" ref="J183:J190" si="12">CONCATENATE(B183,C183,D183,E183)</f>
        <v>Average(1,SlrReflectMJ(1),FP2,False)</v>
      </c>
      <c r="K183" s="15"/>
      <c r="L183" s="15"/>
      <c r="M183" s="15"/>
      <c r="N183" s="15"/>
      <c r="O183" s="15"/>
    </row>
    <row r="184" spans="2:15" x14ac:dyDescent="0.25">
      <c r="B184" t="s">
        <v>206</v>
      </c>
      <c r="C184">
        <f t="shared" si="10"/>
        <v>2</v>
      </c>
      <c r="E184" t="s">
        <v>20</v>
      </c>
      <c r="I184" s="15"/>
      <c r="J184" s="15" t="str">
        <f t="shared" si="12"/>
        <v>Average(1,SlrReflectMJ(2),FP2,False)</v>
      </c>
      <c r="K184" s="15"/>
      <c r="L184" s="15"/>
      <c r="M184" s="15"/>
      <c r="N184" s="15"/>
      <c r="O184" s="15"/>
    </row>
    <row r="185" spans="2:15" x14ac:dyDescent="0.25">
      <c r="B185" t="s">
        <v>206</v>
      </c>
      <c r="C185">
        <f t="shared" si="10"/>
        <v>3</v>
      </c>
      <c r="E185" t="s">
        <v>20</v>
      </c>
      <c r="I185" s="15"/>
      <c r="J185" s="15" t="str">
        <f t="shared" si="12"/>
        <v>Average(1,SlrReflectMJ(3),FP2,False)</v>
      </c>
      <c r="K185" s="15"/>
      <c r="L185" s="15"/>
      <c r="M185" s="15"/>
      <c r="N185" s="15"/>
      <c r="O185" s="15"/>
    </row>
    <row r="186" spans="2:15" x14ac:dyDescent="0.25">
      <c r="B186" t="s">
        <v>206</v>
      </c>
      <c r="C186">
        <f t="shared" si="10"/>
        <v>4</v>
      </c>
      <c r="E186" t="s">
        <v>20</v>
      </c>
      <c r="I186" s="15"/>
      <c r="J186" s="15" t="str">
        <f t="shared" si="12"/>
        <v>Average(1,SlrReflectMJ(4),FP2,False)</v>
      </c>
      <c r="K186" s="15"/>
      <c r="L186" s="15"/>
      <c r="M186" s="15"/>
      <c r="N186" s="15"/>
      <c r="O186" s="15"/>
    </row>
    <row r="187" spans="2:15" x14ac:dyDescent="0.25">
      <c r="B187" t="s">
        <v>206</v>
      </c>
      <c r="C187">
        <f t="shared" si="10"/>
        <v>5</v>
      </c>
      <c r="E187" t="s">
        <v>20</v>
      </c>
      <c r="I187" s="15"/>
      <c r="J187" s="15" t="str">
        <f t="shared" si="12"/>
        <v>Average(1,SlrReflectMJ(5),FP2,False)</v>
      </c>
      <c r="K187" s="15"/>
      <c r="L187" s="15"/>
      <c r="M187" s="15"/>
      <c r="N187" s="15"/>
      <c r="O187" s="15"/>
    </row>
    <row r="188" spans="2:15" x14ac:dyDescent="0.25">
      <c r="B188" t="s">
        <v>206</v>
      </c>
      <c r="C188">
        <f t="shared" si="10"/>
        <v>6</v>
      </c>
      <c r="E188" t="s">
        <v>20</v>
      </c>
      <c r="I188" s="15"/>
      <c r="J188" s="15" t="str">
        <f t="shared" si="12"/>
        <v>Average(1,SlrReflectMJ(6),FP2,False)</v>
      </c>
      <c r="K188" s="15"/>
      <c r="L188" s="15"/>
      <c r="M188" s="15"/>
      <c r="N188" s="15"/>
      <c r="O188" s="15"/>
    </row>
    <row r="189" spans="2:15" x14ac:dyDescent="0.25">
      <c r="B189" t="s">
        <v>206</v>
      </c>
      <c r="C189">
        <f t="shared" si="10"/>
        <v>7</v>
      </c>
      <c r="E189" t="s">
        <v>20</v>
      </c>
      <c r="I189" s="15"/>
      <c r="J189" s="15" t="str">
        <f t="shared" si="12"/>
        <v>Average(1,SlrReflectMJ(7),FP2,False)</v>
      </c>
      <c r="K189" s="15"/>
      <c r="L189" s="15"/>
      <c r="M189" s="15"/>
      <c r="N189" s="15"/>
      <c r="O189" s="15"/>
    </row>
    <row r="190" spans="2:15" x14ac:dyDescent="0.25">
      <c r="B190" t="s">
        <v>206</v>
      </c>
      <c r="C190">
        <f t="shared" si="10"/>
        <v>8</v>
      </c>
      <c r="E190" t="s">
        <v>20</v>
      </c>
      <c r="I190" s="15"/>
      <c r="J190" s="15" t="str">
        <f t="shared" si="12"/>
        <v>Average(1,SlrReflectMJ(8),FP2,False)</v>
      </c>
      <c r="K190" s="15"/>
      <c r="L190" s="15"/>
      <c r="M190" s="15"/>
      <c r="N190" s="15"/>
      <c r="O190" s="15"/>
    </row>
    <row r="191" spans="2:15" x14ac:dyDescent="0.25">
      <c r="B191" t="s">
        <v>206</v>
      </c>
      <c r="C191">
        <f t="shared" si="10"/>
        <v>9</v>
      </c>
      <c r="E191" t="s">
        <v>20</v>
      </c>
      <c r="I191" s="15"/>
      <c r="J191" s="15" t="str">
        <f t="shared" ref="J191:J194" si="13">CONCATENATE(B191,C191,D191,E191)</f>
        <v>Average(1,SlrReflectMJ(9),FP2,False)</v>
      </c>
      <c r="K191" s="15"/>
      <c r="L191" s="15"/>
      <c r="M191" s="15"/>
      <c r="N191" s="15"/>
      <c r="O191" s="15"/>
    </row>
    <row r="192" spans="2:15" x14ac:dyDescent="0.25">
      <c r="B192" t="s">
        <v>206</v>
      </c>
      <c r="C192">
        <f t="shared" si="10"/>
        <v>10</v>
      </c>
      <c r="E192" t="s">
        <v>20</v>
      </c>
      <c r="I192" s="15"/>
      <c r="J192" s="15" t="str">
        <f t="shared" si="13"/>
        <v>Average(1,SlrReflectMJ(10),FP2,False)</v>
      </c>
      <c r="K192" s="15"/>
      <c r="L192" s="15"/>
      <c r="M192" s="15"/>
      <c r="N192" s="15"/>
      <c r="O192" s="15"/>
    </row>
    <row r="193" spans="2:15" x14ac:dyDescent="0.25">
      <c r="B193" t="s">
        <v>206</v>
      </c>
      <c r="C193">
        <f t="shared" si="10"/>
        <v>11</v>
      </c>
      <c r="E193" t="s">
        <v>20</v>
      </c>
      <c r="I193" s="15"/>
      <c r="J193" s="15" t="str">
        <f t="shared" si="13"/>
        <v>Average(1,SlrReflectMJ(11),FP2,False)</v>
      </c>
      <c r="K193" s="15"/>
      <c r="L193" s="15"/>
      <c r="M193" s="15"/>
      <c r="N193" s="15"/>
      <c r="O193" s="15"/>
    </row>
    <row r="194" spans="2:15" x14ac:dyDescent="0.25">
      <c r="B194" t="s">
        <v>206</v>
      </c>
      <c r="C194">
        <f t="shared" si="10"/>
        <v>12</v>
      </c>
      <c r="E194" t="s">
        <v>20</v>
      </c>
      <c r="I194" s="15"/>
      <c r="J194" s="15" t="str">
        <f t="shared" si="13"/>
        <v>Average(1,SlrReflectMJ(12),FP2,False)</v>
      </c>
      <c r="K194" s="15"/>
      <c r="L194" s="15"/>
      <c r="M194" s="15"/>
      <c r="N194" s="15"/>
      <c r="O194" s="15"/>
    </row>
    <row r="195" spans="2:15" x14ac:dyDescent="0.25">
      <c r="B195" t="s">
        <v>201</v>
      </c>
      <c r="C195" s="21">
        <v>1</v>
      </c>
      <c r="E195" t="s">
        <v>20</v>
      </c>
      <c r="I195" s="15"/>
      <c r="J195" s="15" t="str">
        <f t="shared" ref="J195:J202" si="14">CONCATENATE(B195,C195,D195,E195)</f>
        <v>Average(1,SoilAvTC(1),FP2,False)</v>
      </c>
      <c r="K195" s="15"/>
      <c r="L195" s="15"/>
      <c r="M195" s="15"/>
      <c r="N195" s="15"/>
      <c r="O195" s="15"/>
    </row>
    <row r="196" spans="2:15" x14ac:dyDescent="0.25">
      <c r="B196" t="s">
        <v>201</v>
      </c>
      <c r="C196">
        <f t="shared" si="10"/>
        <v>2</v>
      </c>
      <c r="E196" t="s">
        <v>20</v>
      </c>
      <c r="I196" s="15"/>
      <c r="J196" s="15" t="str">
        <f t="shared" si="14"/>
        <v>Average(1,SoilAvTC(2),FP2,False)</v>
      </c>
      <c r="K196" s="15"/>
      <c r="L196" s="15"/>
      <c r="M196" s="15"/>
      <c r="N196" s="15"/>
      <c r="O196" s="15"/>
    </row>
    <row r="197" spans="2:15" x14ac:dyDescent="0.25">
      <c r="B197" t="s">
        <v>201</v>
      </c>
      <c r="C197">
        <f t="shared" si="10"/>
        <v>3</v>
      </c>
      <c r="E197" t="s">
        <v>20</v>
      </c>
      <c r="I197" s="15"/>
      <c r="J197" s="15" t="str">
        <f t="shared" si="14"/>
        <v>Average(1,SoilAvTC(3),FP2,False)</v>
      </c>
      <c r="K197" s="15"/>
      <c r="L197" s="15"/>
      <c r="M197" s="15"/>
      <c r="N197" s="15"/>
      <c r="O197" s="15"/>
    </row>
    <row r="198" spans="2:15" x14ac:dyDescent="0.25">
      <c r="B198" t="s">
        <v>201</v>
      </c>
      <c r="C198">
        <f t="shared" si="10"/>
        <v>4</v>
      </c>
      <c r="E198" t="s">
        <v>20</v>
      </c>
      <c r="I198" s="15"/>
      <c r="J198" s="15" t="str">
        <f t="shared" si="14"/>
        <v>Average(1,SoilAvTC(4),FP2,False)</v>
      </c>
      <c r="K198" s="15"/>
      <c r="L198" s="15"/>
      <c r="M198" s="15"/>
      <c r="N198" s="15"/>
      <c r="O198" s="15"/>
    </row>
    <row r="199" spans="2:15" x14ac:dyDescent="0.25">
      <c r="B199" t="s">
        <v>201</v>
      </c>
      <c r="C199">
        <f t="shared" si="10"/>
        <v>5</v>
      </c>
      <c r="E199" t="s">
        <v>20</v>
      </c>
      <c r="I199" s="15"/>
      <c r="J199" s="15" t="str">
        <f t="shared" si="14"/>
        <v>Average(1,SoilAvTC(5),FP2,False)</v>
      </c>
      <c r="K199" s="15"/>
      <c r="L199" s="15"/>
      <c r="M199" s="15"/>
      <c r="N199" s="15"/>
      <c r="O199" s="15"/>
    </row>
    <row r="200" spans="2:15" x14ac:dyDescent="0.25">
      <c r="B200" t="s">
        <v>201</v>
      </c>
      <c r="C200">
        <f t="shared" si="10"/>
        <v>6</v>
      </c>
      <c r="E200" t="s">
        <v>20</v>
      </c>
      <c r="I200" s="15"/>
      <c r="J200" s="15" t="str">
        <f t="shared" si="14"/>
        <v>Average(1,SoilAvTC(6),FP2,False)</v>
      </c>
      <c r="K200" s="15"/>
      <c r="L200" s="15"/>
      <c r="M200" s="15"/>
      <c r="N200" s="15"/>
      <c r="O200" s="15"/>
    </row>
    <row r="201" spans="2:15" x14ac:dyDescent="0.25">
      <c r="B201" t="s">
        <v>201</v>
      </c>
      <c r="C201">
        <f t="shared" si="10"/>
        <v>7</v>
      </c>
      <c r="E201" t="s">
        <v>20</v>
      </c>
      <c r="I201" s="15"/>
      <c r="J201" s="15" t="str">
        <f t="shared" si="14"/>
        <v>Average(1,SoilAvTC(7),FP2,False)</v>
      </c>
      <c r="K201" s="15"/>
      <c r="L201" s="15"/>
      <c r="M201" s="15"/>
      <c r="N201" s="15"/>
      <c r="O201" s="15"/>
    </row>
    <row r="202" spans="2:15" x14ac:dyDescent="0.25">
      <c r="B202" t="s">
        <v>201</v>
      </c>
      <c r="C202">
        <f t="shared" si="10"/>
        <v>8</v>
      </c>
      <c r="E202" t="s">
        <v>20</v>
      </c>
      <c r="I202" s="15"/>
      <c r="J202" s="15" t="str">
        <f t="shared" si="14"/>
        <v>Average(1,SoilAvTC(8),FP2,False)</v>
      </c>
      <c r="K202" s="15"/>
      <c r="L202" s="15"/>
      <c r="M202" s="15"/>
      <c r="N202" s="15"/>
      <c r="O202" s="15"/>
    </row>
    <row r="203" spans="2:15" x14ac:dyDescent="0.25">
      <c r="B203" t="s">
        <v>201</v>
      </c>
      <c r="C203">
        <f t="shared" ref="C203:C206" si="15">C202+1</f>
        <v>9</v>
      </c>
      <c r="E203" t="s">
        <v>20</v>
      </c>
      <c r="I203" s="15"/>
      <c r="J203" s="15" t="str">
        <f t="shared" ref="J203:J214" si="16">CONCATENATE(B203,C203,D203,E203)</f>
        <v>Average(1,SoilAvTC(9),FP2,False)</v>
      </c>
      <c r="K203" s="15"/>
      <c r="L203" s="15"/>
      <c r="M203" s="15"/>
      <c r="N203" s="15"/>
      <c r="O203" s="15"/>
    </row>
    <row r="204" spans="2:15" x14ac:dyDescent="0.25">
      <c r="B204" t="s">
        <v>201</v>
      </c>
      <c r="C204">
        <f t="shared" si="15"/>
        <v>10</v>
      </c>
      <c r="E204" t="s">
        <v>20</v>
      </c>
      <c r="I204" s="15"/>
      <c r="J204" s="15" t="str">
        <f t="shared" si="16"/>
        <v>Average(1,SoilAvTC(10),FP2,False)</v>
      </c>
      <c r="K204" s="15"/>
      <c r="L204" s="15"/>
      <c r="M204" s="15"/>
      <c r="N204" s="15"/>
      <c r="O204" s="15"/>
    </row>
    <row r="205" spans="2:15" x14ac:dyDescent="0.25">
      <c r="B205" t="s">
        <v>201</v>
      </c>
      <c r="C205">
        <f t="shared" si="15"/>
        <v>11</v>
      </c>
      <c r="E205" t="s">
        <v>20</v>
      </c>
      <c r="I205" s="15"/>
      <c r="J205" s="15" t="str">
        <f t="shared" si="16"/>
        <v>Average(1,SoilAvTC(11),FP2,False)</v>
      </c>
      <c r="K205" s="15"/>
      <c r="L205" s="15"/>
      <c r="M205" s="15"/>
      <c r="N205" s="15"/>
      <c r="O205" s="15"/>
    </row>
    <row r="206" spans="2:15" x14ac:dyDescent="0.25">
      <c r="B206" t="s">
        <v>201</v>
      </c>
      <c r="C206">
        <f t="shared" si="15"/>
        <v>12</v>
      </c>
      <c r="E206" t="s">
        <v>20</v>
      </c>
      <c r="I206" s="15"/>
      <c r="J206" s="15" t="str">
        <f t="shared" si="16"/>
        <v>Average(1,SoilAvTC(12),FP2,False)</v>
      </c>
      <c r="K206" s="15"/>
      <c r="L206" s="15"/>
      <c r="M206" s="15"/>
      <c r="N206" s="15"/>
      <c r="O206" s="15"/>
    </row>
    <row r="207" spans="2:15" x14ac:dyDescent="0.25">
      <c r="B207" t="s">
        <v>280</v>
      </c>
      <c r="C207" s="21">
        <v>1</v>
      </c>
      <c r="E207" t="s">
        <v>20</v>
      </c>
      <c r="I207" s="15"/>
      <c r="J207" s="15" t="str">
        <f t="shared" si="16"/>
        <v>Average(1,LinPAR(1),FP2,False)</v>
      </c>
      <c r="K207" s="15"/>
      <c r="L207" s="15"/>
      <c r="M207" s="15"/>
      <c r="N207" s="15"/>
      <c r="O207" s="15"/>
    </row>
    <row r="208" spans="2:15" x14ac:dyDescent="0.25">
      <c r="B208" t="s">
        <v>280</v>
      </c>
      <c r="C208">
        <f t="shared" ref="C208:C233" si="17">C207+1</f>
        <v>2</v>
      </c>
      <c r="E208" t="s">
        <v>20</v>
      </c>
      <c r="I208" s="15"/>
      <c r="J208" s="15" t="str">
        <f t="shared" si="16"/>
        <v>Average(1,LinPAR(2),FP2,False)</v>
      </c>
      <c r="K208" s="15"/>
      <c r="L208" s="15"/>
      <c r="M208" s="15"/>
      <c r="N208" s="15"/>
      <c r="O208" s="15"/>
    </row>
    <row r="209" spans="2:15" x14ac:dyDescent="0.25">
      <c r="B209" t="s">
        <v>280</v>
      </c>
      <c r="C209">
        <f t="shared" si="17"/>
        <v>3</v>
      </c>
      <c r="E209" t="s">
        <v>20</v>
      </c>
      <c r="I209" s="15"/>
      <c r="J209" s="15" t="str">
        <f t="shared" si="16"/>
        <v>Average(1,LinPAR(3),FP2,False)</v>
      </c>
      <c r="K209" s="15"/>
      <c r="L209" s="15"/>
      <c r="M209" s="15"/>
      <c r="N209" s="15"/>
      <c r="O209" s="15"/>
    </row>
    <row r="210" spans="2:15" x14ac:dyDescent="0.25">
      <c r="B210" t="s">
        <v>280</v>
      </c>
      <c r="C210">
        <f t="shared" si="17"/>
        <v>4</v>
      </c>
      <c r="E210" t="s">
        <v>20</v>
      </c>
      <c r="I210" s="15"/>
      <c r="J210" s="15" t="str">
        <f t="shared" si="16"/>
        <v>Average(1,LinPAR(4),FP2,False)</v>
      </c>
      <c r="K210" s="15"/>
      <c r="L210" s="15"/>
      <c r="M210" s="15"/>
      <c r="N210" s="15"/>
      <c r="O210" s="15"/>
    </row>
    <row r="211" spans="2:15" x14ac:dyDescent="0.25">
      <c r="B211" t="s">
        <v>280</v>
      </c>
      <c r="C211">
        <f t="shared" si="17"/>
        <v>5</v>
      </c>
      <c r="E211" t="s">
        <v>20</v>
      </c>
      <c r="I211" s="15"/>
      <c r="J211" s="15" t="str">
        <f t="shared" si="16"/>
        <v>Average(1,LinPAR(5),FP2,False)</v>
      </c>
      <c r="K211" s="15"/>
      <c r="L211" s="15"/>
      <c r="M211" s="15"/>
      <c r="N211" s="15"/>
      <c r="O211" s="15"/>
    </row>
    <row r="212" spans="2:15" x14ac:dyDescent="0.25">
      <c r="B212" t="s">
        <v>280</v>
      </c>
      <c r="C212">
        <f t="shared" si="17"/>
        <v>6</v>
      </c>
      <c r="E212" t="s">
        <v>20</v>
      </c>
      <c r="I212" s="15"/>
      <c r="J212" s="15" t="str">
        <f t="shared" si="16"/>
        <v>Average(1,LinPAR(6),FP2,False)</v>
      </c>
      <c r="K212" s="15"/>
      <c r="L212" s="15"/>
      <c r="M212" s="15"/>
      <c r="N212" s="15"/>
      <c r="O212" s="15"/>
    </row>
    <row r="213" spans="2:15" x14ac:dyDescent="0.25">
      <c r="B213" t="s">
        <v>280</v>
      </c>
      <c r="C213">
        <f t="shared" si="17"/>
        <v>7</v>
      </c>
      <c r="E213" t="s">
        <v>20</v>
      </c>
      <c r="I213" s="15"/>
      <c r="J213" s="15" t="str">
        <f t="shared" si="16"/>
        <v>Average(1,LinPAR(7),FP2,False)</v>
      </c>
      <c r="K213" s="15"/>
      <c r="L213" s="15"/>
      <c r="M213" s="15"/>
      <c r="N213" s="15"/>
      <c r="O213" s="15"/>
    </row>
    <row r="214" spans="2:15" x14ac:dyDescent="0.25">
      <c r="B214" t="s">
        <v>280</v>
      </c>
      <c r="C214">
        <f t="shared" si="17"/>
        <v>8</v>
      </c>
      <c r="E214" t="s">
        <v>20</v>
      </c>
      <c r="I214" s="15"/>
      <c r="J214" s="15" t="str">
        <f t="shared" si="16"/>
        <v>Average(1,LinPAR(8),FP2,False)</v>
      </c>
      <c r="K214" s="15"/>
      <c r="L214" s="15"/>
      <c r="M214" s="15"/>
      <c r="N214" s="15"/>
      <c r="O214" s="15"/>
    </row>
    <row r="215" spans="2:15" x14ac:dyDescent="0.25">
      <c r="B215" t="s">
        <v>280</v>
      </c>
      <c r="C215">
        <f t="shared" si="17"/>
        <v>9</v>
      </c>
      <c r="E215" t="s">
        <v>20</v>
      </c>
      <c r="I215" s="15"/>
      <c r="J215" s="15" t="str">
        <f t="shared" ref="J215:J221" si="18">CONCATENATE(B215,C215,D215,E215)</f>
        <v>Average(1,LinPAR(9),FP2,False)</v>
      </c>
      <c r="K215" s="15"/>
      <c r="L215" s="15"/>
      <c r="M215" s="15"/>
      <c r="N215" s="15"/>
      <c r="O215" s="15"/>
    </row>
    <row r="216" spans="2:15" x14ac:dyDescent="0.25">
      <c r="B216" t="s">
        <v>280</v>
      </c>
      <c r="C216">
        <f t="shared" si="17"/>
        <v>10</v>
      </c>
      <c r="E216" t="s">
        <v>20</v>
      </c>
      <c r="I216" s="15"/>
      <c r="J216" s="15" t="str">
        <f t="shared" si="18"/>
        <v>Average(1,LinPAR(10),FP2,False)</v>
      </c>
      <c r="K216" s="15"/>
      <c r="L216" s="15"/>
      <c r="M216" s="15"/>
      <c r="N216" s="15"/>
      <c r="O216" s="15"/>
    </row>
    <row r="217" spans="2:15" x14ac:dyDescent="0.25">
      <c r="B217" t="s">
        <v>280</v>
      </c>
      <c r="C217">
        <f t="shared" si="17"/>
        <v>11</v>
      </c>
      <c r="E217" t="s">
        <v>20</v>
      </c>
      <c r="I217" s="15"/>
      <c r="J217" s="15" t="str">
        <f t="shared" si="18"/>
        <v>Average(1,LinPAR(11),FP2,False)</v>
      </c>
      <c r="K217" s="15"/>
      <c r="L217" s="15"/>
      <c r="M217" s="15"/>
      <c r="N217" s="15"/>
      <c r="O217" s="15"/>
    </row>
    <row r="218" spans="2:15" x14ac:dyDescent="0.25">
      <c r="B218" t="s">
        <v>280</v>
      </c>
      <c r="C218">
        <f t="shared" si="17"/>
        <v>12</v>
      </c>
      <c r="E218" t="s">
        <v>20</v>
      </c>
      <c r="I218" s="15"/>
      <c r="J218" s="15" t="str">
        <f t="shared" si="18"/>
        <v>Average(1,LinPAR(12),FP2,False)</v>
      </c>
      <c r="K218" s="15"/>
      <c r="L218" s="15"/>
      <c r="M218" s="15"/>
      <c r="N218" s="15"/>
      <c r="O218" s="15"/>
    </row>
    <row r="219" spans="2:15" x14ac:dyDescent="0.25">
      <c r="B219" t="s">
        <v>280</v>
      </c>
      <c r="C219">
        <f t="shared" si="17"/>
        <v>13</v>
      </c>
      <c r="E219" t="s">
        <v>20</v>
      </c>
      <c r="I219" s="15"/>
      <c r="J219" s="15" t="str">
        <f t="shared" si="18"/>
        <v>Average(1,LinPAR(13),FP2,False)</v>
      </c>
      <c r="K219" s="15"/>
      <c r="L219" s="15"/>
      <c r="M219" s="15"/>
      <c r="N219" s="15"/>
      <c r="O219" s="15"/>
    </row>
    <row r="220" spans="2:15" x14ac:dyDescent="0.25">
      <c r="B220" t="s">
        <v>280</v>
      </c>
      <c r="C220">
        <f t="shared" si="17"/>
        <v>14</v>
      </c>
      <c r="E220" t="s">
        <v>20</v>
      </c>
      <c r="I220" s="15"/>
      <c r="J220" s="15" t="str">
        <f t="shared" si="18"/>
        <v>Average(1,LinPAR(14),FP2,False)</v>
      </c>
      <c r="K220" s="15"/>
      <c r="L220" s="15"/>
      <c r="M220" s="15"/>
      <c r="N220" s="15"/>
      <c r="O220" s="15"/>
    </row>
    <row r="221" spans="2:15" x14ac:dyDescent="0.25">
      <c r="B221" t="s">
        <v>280</v>
      </c>
      <c r="C221">
        <f t="shared" si="17"/>
        <v>15</v>
      </c>
      <c r="E221" t="s">
        <v>20</v>
      </c>
      <c r="I221" s="15"/>
      <c r="J221" s="15" t="str">
        <f t="shared" si="18"/>
        <v>Average(1,LinPAR(15),FP2,False)</v>
      </c>
      <c r="K221" s="15"/>
      <c r="L221" s="15"/>
      <c r="M221" s="15"/>
      <c r="N221" s="15"/>
      <c r="O221" s="15"/>
    </row>
    <row r="222" spans="2:15" x14ac:dyDescent="0.25">
      <c r="B222" t="s">
        <v>280</v>
      </c>
      <c r="C222">
        <f t="shared" si="17"/>
        <v>16</v>
      </c>
      <c r="E222" t="s">
        <v>20</v>
      </c>
      <c r="I222" s="15"/>
      <c r="J222" s="15" t="str">
        <f t="shared" ref="J222:J233" si="19">CONCATENATE(B222,C222,D222,E222)</f>
        <v>Average(1,LinPAR(16),FP2,False)</v>
      </c>
      <c r="K222" s="15"/>
      <c r="L222" s="15"/>
      <c r="M222" s="15"/>
      <c r="N222" s="15"/>
      <c r="O222" s="15"/>
    </row>
    <row r="223" spans="2:15" x14ac:dyDescent="0.25">
      <c r="B223" t="s">
        <v>280</v>
      </c>
      <c r="C223">
        <f t="shared" si="17"/>
        <v>17</v>
      </c>
      <c r="E223" t="s">
        <v>20</v>
      </c>
      <c r="I223" s="15"/>
      <c r="J223" s="15" t="str">
        <f t="shared" si="19"/>
        <v>Average(1,LinPAR(17),FP2,False)</v>
      </c>
      <c r="K223" s="15"/>
      <c r="L223" s="15"/>
      <c r="M223" s="15"/>
      <c r="N223" s="15"/>
      <c r="O223" s="15"/>
    </row>
    <row r="224" spans="2:15" x14ac:dyDescent="0.25">
      <c r="B224" t="s">
        <v>280</v>
      </c>
      <c r="C224">
        <f t="shared" si="17"/>
        <v>18</v>
      </c>
      <c r="E224" t="s">
        <v>20</v>
      </c>
      <c r="I224" s="15"/>
      <c r="J224" s="15" t="str">
        <f t="shared" si="19"/>
        <v>Average(1,LinPAR(18),FP2,False)</v>
      </c>
      <c r="K224" s="15"/>
      <c r="L224" s="15"/>
      <c r="M224" s="15"/>
      <c r="N224" s="15"/>
      <c r="O224" s="15"/>
    </row>
    <row r="225" spans="1:15" x14ac:dyDescent="0.25">
      <c r="B225" t="s">
        <v>280</v>
      </c>
      <c r="C225">
        <f t="shared" si="17"/>
        <v>19</v>
      </c>
      <c r="E225" t="s">
        <v>20</v>
      </c>
      <c r="I225" s="15"/>
      <c r="J225" s="15" t="str">
        <f t="shared" si="19"/>
        <v>Average(1,LinPAR(19),FP2,False)</v>
      </c>
      <c r="K225" s="15"/>
      <c r="L225" s="15"/>
      <c r="M225" s="15"/>
      <c r="N225" s="15"/>
      <c r="O225" s="15"/>
    </row>
    <row r="226" spans="1:15" x14ac:dyDescent="0.25">
      <c r="B226" t="s">
        <v>280</v>
      </c>
      <c r="C226">
        <f t="shared" si="17"/>
        <v>20</v>
      </c>
      <c r="E226" t="s">
        <v>20</v>
      </c>
      <c r="I226" s="15"/>
      <c r="J226" s="15" t="str">
        <f t="shared" si="19"/>
        <v>Average(1,LinPAR(20),FP2,False)</v>
      </c>
      <c r="K226" s="15"/>
      <c r="L226" s="15"/>
      <c r="M226" s="15"/>
      <c r="N226" s="15"/>
      <c r="O226" s="15"/>
    </row>
    <row r="227" spans="1:15" x14ac:dyDescent="0.25">
      <c r="B227" t="s">
        <v>280</v>
      </c>
      <c r="C227">
        <f t="shared" si="17"/>
        <v>21</v>
      </c>
      <c r="E227" t="s">
        <v>20</v>
      </c>
      <c r="I227" s="15"/>
      <c r="J227" s="15" t="str">
        <f t="shared" si="19"/>
        <v>Average(1,LinPAR(21),FP2,False)</v>
      </c>
      <c r="K227" s="15"/>
      <c r="L227" s="15"/>
      <c r="M227" s="15"/>
      <c r="N227" s="15"/>
      <c r="O227" s="15"/>
    </row>
    <row r="228" spans="1:15" x14ac:dyDescent="0.25">
      <c r="B228" t="s">
        <v>280</v>
      </c>
      <c r="C228">
        <f t="shared" si="17"/>
        <v>22</v>
      </c>
      <c r="E228" t="s">
        <v>20</v>
      </c>
      <c r="I228" s="15"/>
      <c r="J228" s="15" t="str">
        <f t="shared" si="19"/>
        <v>Average(1,LinPAR(22),FP2,False)</v>
      </c>
      <c r="K228" s="15"/>
      <c r="L228" s="15"/>
      <c r="M228" s="15"/>
      <c r="N228" s="15"/>
      <c r="O228" s="15"/>
    </row>
    <row r="229" spans="1:15" x14ac:dyDescent="0.25">
      <c r="B229" t="s">
        <v>280</v>
      </c>
      <c r="C229">
        <f t="shared" si="17"/>
        <v>23</v>
      </c>
      <c r="E229" t="s">
        <v>20</v>
      </c>
      <c r="I229" s="15"/>
      <c r="J229" s="15" t="str">
        <f t="shared" si="19"/>
        <v>Average(1,LinPAR(23),FP2,False)</v>
      </c>
      <c r="K229" s="15"/>
      <c r="L229" s="15"/>
      <c r="M229" s="15"/>
      <c r="N229" s="15"/>
      <c r="O229" s="15"/>
    </row>
    <row r="230" spans="1:15" x14ac:dyDescent="0.25">
      <c r="B230" t="s">
        <v>280</v>
      </c>
      <c r="C230">
        <f t="shared" si="17"/>
        <v>24</v>
      </c>
      <c r="E230" t="s">
        <v>20</v>
      </c>
      <c r="I230" s="15"/>
      <c r="J230" s="15" t="str">
        <f t="shared" si="19"/>
        <v>Average(1,LinPAR(24),FP2,False)</v>
      </c>
      <c r="K230" s="15"/>
      <c r="L230" s="15"/>
      <c r="M230" s="15"/>
      <c r="N230" s="15"/>
      <c r="O230" s="15"/>
    </row>
    <row r="231" spans="1:15" x14ac:dyDescent="0.25">
      <c r="B231" t="s">
        <v>280</v>
      </c>
      <c r="C231">
        <f t="shared" si="17"/>
        <v>25</v>
      </c>
      <c r="E231" t="s">
        <v>20</v>
      </c>
      <c r="I231" s="15"/>
      <c r="J231" s="15" t="str">
        <f t="shared" si="19"/>
        <v>Average(1,LinPAR(25),FP2,False)</v>
      </c>
      <c r="K231" s="15"/>
      <c r="L231" s="15"/>
      <c r="M231" s="15"/>
      <c r="N231" s="15"/>
      <c r="O231" s="15"/>
    </row>
    <row r="232" spans="1:15" x14ac:dyDescent="0.25">
      <c r="B232" t="s">
        <v>280</v>
      </c>
      <c r="C232">
        <f t="shared" si="17"/>
        <v>26</v>
      </c>
      <c r="E232" t="s">
        <v>20</v>
      </c>
      <c r="I232" s="15"/>
      <c r="J232" s="15" t="str">
        <f t="shared" si="19"/>
        <v>Average(1,LinPAR(26),FP2,False)</v>
      </c>
      <c r="K232" s="15"/>
      <c r="L232" s="15"/>
      <c r="M232" s="15"/>
      <c r="N232" s="15"/>
      <c r="O232" s="15"/>
    </row>
    <row r="233" spans="1:15" x14ac:dyDescent="0.25">
      <c r="B233" t="s">
        <v>280</v>
      </c>
      <c r="C233">
        <f t="shared" si="17"/>
        <v>27</v>
      </c>
      <c r="E233" t="s">
        <v>20</v>
      </c>
      <c r="I233" s="15"/>
      <c r="J233" s="15" t="str">
        <f t="shared" si="19"/>
        <v>Average(1,LinPAR(27),FP2,False)</v>
      </c>
      <c r="K233" s="15"/>
      <c r="L233" s="15"/>
      <c r="M233" s="15"/>
      <c r="N233" s="15"/>
      <c r="O233" s="15"/>
    </row>
    <row r="234" spans="1:15" x14ac:dyDescent="0.25">
      <c r="I234" s="15" t="s">
        <v>8</v>
      </c>
      <c r="J234" s="15"/>
      <c r="K234" s="15"/>
      <c r="L234" s="15"/>
      <c r="M234" s="15"/>
      <c r="N234" s="15"/>
      <c r="O234" s="15"/>
    </row>
    <row r="235" spans="1:15" x14ac:dyDescent="0.25">
      <c r="I235" s="15"/>
      <c r="J235" s="15"/>
      <c r="K235" s="15"/>
      <c r="L235" s="15"/>
      <c r="M235" s="15"/>
      <c r="N235" s="15"/>
      <c r="O235" s="15"/>
    </row>
    <row r="236" spans="1:15" x14ac:dyDescent="0.25">
      <c r="I236" s="15" t="s">
        <v>9</v>
      </c>
      <c r="J236" s="15"/>
      <c r="K236" s="15"/>
      <c r="L236" s="15"/>
      <c r="M236" s="15"/>
      <c r="N236" s="15"/>
      <c r="O236" s="15"/>
    </row>
    <row r="237" spans="1:15" x14ac:dyDescent="0.25">
      <c r="I237" s="15" t="s">
        <v>10</v>
      </c>
      <c r="J237" s="15"/>
      <c r="K237" s="15"/>
      <c r="L237" s="15"/>
      <c r="M237" s="15"/>
      <c r="N237" s="15"/>
      <c r="O237" s="15"/>
    </row>
    <row r="238" spans="1:15" x14ac:dyDescent="0.25">
      <c r="I238" s="15"/>
      <c r="J238" s="17" t="str">
        <f>"'Main Scan.  Scan(Internal, Units, BufferSize, Count)"</f>
        <v>'Main Scan.  Scan(Internal, Units, BufferSize, Count)</v>
      </c>
      <c r="K238" s="15"/>
      <c r="L238" s="15"/>
      <c r="M238" s="15"/>
      <c r="N238" s="15"/>
      <c r="O238" s="15"/>
    </row>
    <row r="239" spans="1:15" x14ac:dyDescent="0.25">
      <c r="A239" t="s">
        <v>44</v>
      </c>
      <c r="B239">
        <f>ScanFrequenceValue</f>
        <v>2</v>
      </c>
      <c r="C239" t="s">
        <v>46</v>
      </c>
      <c r="D239" t="str">
        <f>ScanFrequenceUnits</f>
        <v>min</v>
      </c>
      <c r="E239" t="s">
        <v>45</v>
      </c>
      <c r="I239" s="15"/>
      <c r="J239" s="15" t="str">
        <f>CONCATENATE(A239,B239,C239,D239,E239)</f>
        <v>Scan(2,min,1,0)</v>
      </c>
      <c r="K239" s="15"/>
      <c r="L239" s="15"/>
      <c r="M239" s="15"/>
      <c r="N239" s="15"/>
      <c r="O239" s="15"/>
    </row>
    <row r="240" spans="1:15" x14ac:dyDescent="0.25">
      <c r="I240" s="15"/>
      <c r="J240" s="15"/>
      <c r="K240" s="15" t="s">
        <v>11</v>
      </c>
      <c r="L240" s="15"/>
      <c r="M240" s="15"/>
      <c r="N240" s="15"/>
      <c r="O240" s="15"/>
    </row>
    <row r="241" spans="1:15" x14ac:dyDescent="0.25">
      <c r="I241" s="15"/>
      <c r="J241" s="15"/>
      <c r="K241" s="15" t="s">
        <v>12</v>
      </c>
      <c r="L241" s="15"/>
      <c r="M241" s="15"/>
      <c r="N241" s="15"/>
      <c r="O241" s="15"/>
    </row>
    <row r="242" spans="1:15" x14ac:dyDescent="0.25">
      <c r="I242" s="15"/>
      <c r="J242" s="15"/>
      <c r="K242" s="15" t="s">
        <v>13</v>
      </c>
      <c r="L242" s="15"/>
      <c r="M242" s="15"/>
      <c r="N242" s="15"/>
      <c r="O242" s="15"/>
    </row>
    <row r="243" spans="1:15" x14ac:dyDescent="0.25">
      <c r="I243" s="15"/>
      <c r="J243" s="15"/>
      <c r="K243" s="15" t="s">
        <v>14</v>
      </c>
      <c r="L243" s="15"/>
      <c r="M243" s="15"/>
      <c r="N243" s="15"/>
      <c r="O243" s="15"/>
    </row>
    <row r="244" spans="1:15" x14ac:dyDescent="0.25">
      <c r="I244" s="15"/>
      <c r="J244" s="15"/>
      <c r="K244" s="15" t="str">
        <f>"'CS500 Temperature &amp; Relative Humidity Sensor measurements 'AirTC' and 'RH'.  VoltSe(Dest, Reps, Range, SEChan, MeasOffset, SettlingTime, Integ, Mult, Offset)"</f>
        <v>'CS500 Temperature &amp; Relative Humidity Sensor measurements 'AirTC' and 'RH'.  VoltSe(Dest, Reps, Range, SEChan, MeasOffset, SettlingTime, Integ, Mult, Offset)</v>
      </c>
      <c r="L244" s="15"/>
      <c r="M244" s="15"/>
      <c r="N244" s="15"/>
      <c r="O244" s="15"/>
    </row>
    <row r="245" spans="1:15" x14ac:dyDescent="0.25">
      <c r="A245" s="22" t="s">
        <v>84</v>
      </c>
      <c r="B245">
        <f>TempSignalSEChan</f>
        <v>9</v>
      </c>
      <c r="C245" t="s">
        <v>85</v>
      </c>
      <c r="I245" s="15"/>
      <c r="J245" s="15"/>
      <c r="K245" s="15" t="str">
        <f>CONCATENATE(A245,B245,C245)</f>
        <v>VoltSE(AirTC,1,mV2500,9,0,0,_60Hz,0.1,-40)</v>
      </c>
      <c r="L245" s="15"/>
      <c r="M245" s="15"/>
      <c r="N245" s="15"/>
      <c r="O245" s="15"/>
    </row>
    <row r="246" spans="1:15" x14ac:dyDescent="0.25">
      <c r="A246" s="22" t="s">
        <v>86</v>
      </c>
      <c r="B246">
        <f>HumSignalSEChan</f>
        <v>10</v>
      </c>
      <c r="C246" t="s">
        <v>87</v>
      </c>
      <c r="I246" s="15"/>
      <c r="J246" s="15"/>
      <c r="K246" s="15" t="str">
        <f>CONCATENATE(A246,B246,C246)</f>
        <v>VoltSE(RH,1,mV2500,10,0,0,_60Hz,0.1,0)</v>
      </c>
      <c r="L246" s="15"/>
      <c r="M246" s="15"/>
      <c r="N246" s="15"/>
      <c r="O246" s="15"/>
    </row>
    <row r="247" spans="1:15" x14ac:dyDescent="0.25">
      <c r="I247" s="15"/>
      <c r="J247" s="15"/>
      <c r="K247" s="15" t="s">
        <v>81</v>
      </c>
      <c r="L247" s="15"/>
      <c r="M247" s="15"/>
      <c r="N247" s="15"/>
      <c r="O247" s="15"/>
    </row>
    <row r="248" spans="1:15" x14ac:dyDescent="0.25">
      <c r="I248" s="15"/>
      <c r="J248" s="15"/>
      <c r="K248" s="15" t="str">
        <f>"'LI200X Pyranometer measurements 'SlrMJ' and 'SlrkW'.  Voltdiff(Dest, Reps, Range, DiffChan, RevDiff, SettlingTime, Integ, Mult, Ofset)"</f>
        <v>'LI200X Pyranometer measurements 'SlrMJ' and 'SlrkW'.  Voltdiff(Dest, Reps, Range, DiffChan, RevDiff, SettlingTime, Integ, Mult, Ofset)</v>
      </c>
      <c r="L248" s="15"/>
      <c r="M248" s="15"/>
      <c r="N248" s="15"/>
      <c r="O248" s="15"/>
    </row>
    <row r="249" spans="1:15" x14ac:dyDescent="0.25">
      <c r="A249" t="s">
        <v>100</v>
      </c>
      <c r="B249">
        <f>RadnSignalDifflChan</f>
        <v>6</v>
      </c>
      <c r="C249" t="s">
        <v>101</v>
      </c>
      <c r="I249" s="15"/>
      <c r="J249" s="15"/>
      <c r="K249" s="15" t="str">
        <f>CONCATENATE(A249,B249,C249)</f>
        <v>VoltDiff(SlrkW,1,mV7_5,6,True,0,_60Hz,1,0)</v>
      </c>
      <c r="L249" s="15"/>
      <c r="M249" s="15"/>
      <c r="N249" s="15"/>
      <c r="O249" s="15"/>
    </row>
    <row r="250" spans="1:15" x14ac:dyDescent="0.25">
      <c r="B250">
        <v>2.0000000000000001E-4</v>
      </c>
      <c r="I250" s="15"/>
      <c r="J250" s="15"/>
      <c r="K250" s="15" t="s">
        <v>82</v>
      </c>
      <c r="L250" s="15"/>
      <c r="M250" s="15"/>
      <c r="N250" s="15"/>
      <c r="O250" s="15"/>
    </row>
    <row r="251" spans="1:15" x14ac:dyDescent="0.25">
      <c r="A251" t="s">
        <v>104</v>
      </c>
      <c r="B251">
        <f>ScanFrequencyInSec*B250</f>
        <v>0.12000000000000001</v>
      </c>
      <c r="I251" s="15"/>
      <c r="J251" s="15"/>
      <c r="K251" s="15" t="str">
        <f>CONCATENATE(A251,B251)</f>
        <v>SlrMJ=SlrkW*0.12</v>
      </c>
      <c r="L251" s="15"/>
      <c r="M251" s="15"/>
      <c r="N251" s="15"/>
      <c r="O251" s="15"/>
    </row>
    <row r="252" spans="1:15" x14ac:dyDescent="0.25">
      <c r="I252" s="15"/>
      <c r="J252" s="15"/>
      <c r="K252" s="15" t="s">
        <v>83</v>
      </c>
      <c r="L252" s="15"/>
      <c r="M252" s="15"/>
      <c r="N252" s="15"/>
      <c r="O252" s="15"/>
    </row>
    <row r="253" spans="1:15" x14ac:dyDescent="0.25">
      <c r="I253" s="15"/>
      <c r="J253" s="15"/>
      <c r="K253" s="15" t="str">
        <f>"'Generic Tipping Bucket Rain Gauge measurement 'Rain_mm'.  PulseCount(Dest, Reps, Pchan, Pconfig, Poption, Mult, Offset)"</f>
        <v>'Generic Tipping Bucket Rain Gauge measurement 'Rain_mm'.  PulseCount(Dest, Reps, Pchan, Pconfig, Poption, Mult, Offset)</v>
      </c>
      <c r="L253" s="15"/>
      <c r="M253" s="15"/>
      <c r="N253" s="15"/>
      <c r="O253" s="15"/>
    </row>
    <row r="254" spans="1:15" x14ac:dyDescent="0.25">
      <c r="A254" t="s">
        <v>116</v>
      </c>
      <c r="B254">
        <f>RainSignalPulseChan</f>
        <v>1</v>
      </c>
      <c r="C254" t="s">
        <v>117</v>
      </c>
      <c r="D254">
        <f>RainMmPerTip</f>
        <v>1</v>
      </c>
      <c r="E254" t="s">
        <v>48</v>
      </c>
      <c r="I254" s="15"/>
      <c r="J254" s="15"/>
      <c r="K254" s="15" t="str">
        <f>CONCATENATE(A254,B254,C254,D254,E254)</f>
        <v>PulseCount(Rain_mm,1,1,2,0,1,0)</v>
      </c>
      <c r="L254" s="15"/>
      <c r="M254" s="15"/>
      <c r="N254" s="15"/>
      <c r="O254" s="15"/>
    </row>
    <row r="255" spans="1:15" x14ac:dyDescent="0.25">
      <c r="I255" s="15"/>
      <c r="J255" s="15"/>
      <c r="K255" s="15" t="str">
        <f>"'NRG #40 Wind Speed Sensor measurements 'WS_ms'.  PulseCount(Dest, Reps, Pchan, Pconfig, Poption, Mult, Offset)"</f>
        <v>'NRG #40 Wind Speed Sensor measurements 'WS_ms'.  PulseCount(Dest, Reps, Pchan, Pconfig, Poption, Mult, Offset)</v>
      </c>
      <c r="L255" s="15"/>
      <c r="M255" s="15"/>
      <c r="N255" s="15"/>
      <c r="O255" s="15"/>
    </row>
    <row r="256" spans="1:15" x14ac:dyDescent="0.25">
      <c r="A256" t="s">
        <v>125</v>
      </c>
      <c r="B256">
        <f>WindSignalPulseChan</f>
        <v>2</v>
      </c>
      <c r="C256" t="s">
        <v>153</v>
      </c>
      <c r="D256">
        <f>WindMSPerPulse</f>
        <v>0.76500000000000001</v>
      </c>
      <c r="E256" t="s">
        <v>46</v>
      </c>
      <c r="F256">
        <f>WindOffset</f>
        <v>0.35</v>
      </c>
      <c r="G256" t="s">
        <v>129</v>
      </c>
      <c r="I256" s="15"/>
      <c r="J256" s="15"/>
      <c r="K256" s="15" t="str">
        <f>CONCATENATE(A256,B256,C256,D256,E256,F256,G256)</f>
        <v>PulseCount(WS_ms,1,2,2,1,0.765,0.35)</v>
      </c>
      <c r="L256" s="15"/>
      <c r="M256" s="15"/>
      <c r="N256" s="15"/>
      <c r="O256" s="15"/>
    </row>
    <row r="257" spans="1:15" x14ac:dyDescent="0.25">
      <c r="I257" s="15"/>
      <c r="J257" s="15"/>
      <c r="K257" s="15" t="str">
        <f>"If WS_ms&lt;"&amp;WindOffset+0.01&amp;" Then WS_ms=0"</f>
        <v>If WS_ms&lt;0.36 Then WS_ms=0</v>
      </c>
      <c r="L257" s="15"/>
      <c r="M257" s="15"/>
      <c r="N257" s="15"/>
      <c r="O257" s="15"/>
    </row>
    <row r="258" spans="1:15" x14ac:dyDescent="0.25">
      <c r="I258" s="15"/>
      <c r="J258" s="15"/>
      <c r="K258" s="15" t="str">
        <f>"'237 Leaf Wetness Sensor measurement 'LeafWet_kohms'.  BrHalf(Dest, Reps, Range, SEChan, VX/ExChan, MeasPEx, ExmV, RevEx, Settlingtime, Integ, Mult, Offset)"</f>
        <v>'237 Leaf Wetness Sensor measurement 'LeafWet_kohms'.  BrHalf(Dest, Reps, Range, SEChan, VX/ExChan, MeasPEx, ExmV, RevEx, Settlingtime, Integ, Mult, Offset)</v>
      </c>
      <c r="L258" s="15"/>
      <c r="M258" s="15"/>
      <c r="N258" s="15"/>
      <c r="O258" s="15"/>
    </row>
    <row r="259" spans="1:15" x14ac:dyDescent="0.25">
      <c r="A259" t="s">
        <v>145</v>
      </c>
      <c r="B259">
        <f>LeafWetnessSEChan</f>
        <v>15</v>
      </c>
      <c r="C259" t="s">
        <v>46</v>
      </c>
      <c r="D259">
        <f>LeafWetnessVXChan</f>
        <v>1</v>
      </c>
      <c r="E259" t="s">
        <v>146</v>
      </c>
      <c r="I259" s="15"/>
      <c r="J259" s="15"/>
      <c r="K259" s="15" t="str">
        <f>CONCATENATE(A259,B259,C259,D259,E259)</f>
        <v>BrHalf(LeafWet_kohms,1,mV25,15,1,1,2500,True,0,250,1,0)</v>
      </c>
      <c r="L259" s="15"/>
      <c r="M259" s="15"/>
      <c r="N259" s="15"/>
      <c r="O259" s="15"/>
    </row>
    <row r="260" spans="1:15" x14ac:dyDescent="0.25">
      <c r="I260" s="15"/>
      <c r="J260" s="15"/>
      <c r="K260" s="15" t="s">
        <v>148</v>
      </c>
      <c r="L260" s="15"/>
      <c r="M260" s="15"/>
      <c r="N260" s="15"/>
      <c r="O260" s="15"/>
    </row>
    <row r="261" spans="1:15" x14ac:dyDescent="0.25">
      <c r="I261" s="15"/>
      <c r="J261" s="15"/>
      <c r="K261" s="15" t="str">
        <f>"'CN1-R net Pyrradiometer. Voltdiff(Dest, Reps, Range, DiffChan, RevDiff, SettlingTime, Integ, Mult, Ofset)"</f>
        <v>'CN1-R net Pyrradiometer. Voltdiff(Dest, Reps, Range, DiffChan, RevDiff, SettlingTime, Integ, Mult, Ofset)</v>
      </c>
      <c r="L261" s="15"/>
      <c r="M261" s="15"/>
      <c r="N261" s="15"/>
      <c r="O261" s="15"/>
    </row>
    <row r="262" spans="1:15" ht="15.75" thickBot="1" x14ac:dyDescent="0.3">
      <c r="A262" t="s">
        <v>216</v>
      </c>
      <c r="B262">
        <f>PyrradiometerDiffChan</f>
        <v>7</v>
      </c>
      <c r="C262" t="s">
        <v>220</v>
      </c>
      <c r="D262">
        <f>Pyrradiometer_coeff</f>
        <v>1500</v>
      </c>
      <c r="E262" t="s">
        <v>48</v>
      </c>
      <c r="I262" s="15"/>
      <c r="J262" s="15"/>
      <c r="K262" s="15" t="str">
        <f>CONCATENATE(A262,B262,C262,D262,E262)</f>
        <v>VoltDiff(NetRadn,1,mv250,7,True,0,_60Hz,1500,0)</v>
      </c>
      <c r="L262" s="15"/>
      <c r="M262" s="15"/>
      <c r="N262" s="15"/>
      <c r="O262" s="15"/>
    </row>
    <row r="263" spans="1:15" ht="15.75" thickBot="1" x14ac:dyDescent="0.3">
      <c r="A263" s="5" t="s">
        <v>200</v>
      </c>
      <c r="B263" s="5">
        <v>1</v>
      </c>
      <c r="C263" s="93" t="s">
        <v>179</v>
      </c>
      <c r="D263" s="94"/>
      <c r="E263" s="94"/>
      <c r="F263" s="94"/>
      <c r="G263" s="95"/>
      <c r="I263" s="15"/>
      <c r="J263" s="15"/>
      <c r="K263" s="17" t="str">
        <f>"'Turn AM16/32 Multiplexer On.  PortSet(DataLogger com channel, State 1=on and can respond to clock pulses)"</f>
        <v>'Turn AM16/32 Multiplexer On.  PortSet(DataLogger com channel, State 1=on and can respond to clock pulses)</v>
      </c>
      <c r="L263" s="15"/>
      <c r="M263" s="15"/>
      <c r="N263" s="15"/>
      <c r="O263" s="15"/>
    </row>
    <row r="264" spans="1:15" x14ac:dyDescent="0.25">
      <c r="A264" s="3" t="s">
        <v>29</v>
      </c>
      <c r="B264">
        <f>VLOOKUP("MUXResComChannel",MUXChans,B263+1,FALSE)</f>
        <v>2</v>
      </c>
      <c r="C264" t="s">
        <v>30</v>
      </c>
      <c r="D264" s="16"/>
      <c r="E264" s="16"/>
      <c r="F264" s="16"/>
      <c r="G264" s="16"/>
      <c r="I264" s="15"/>
      <c r="J264" s="15"/>
      <c r="K264" s="15" t="str">
        <f>CONCATENATE(A264,B264,C264)</f>
        <v>PortSet(2,1)</v>
      </c>
      <c r="L264" s="15"/>
      <c r="M264" s="15"/>
      <c r="N264" s="15"/>
      <c r="O264" s="15"/>
    </row>
    <row r="265" spans="1:15" x14ac:dyDescent="0.25">
      <c r="A265" s="16"/>
      <c r="B265" s="16"/>
      <c r="C265" s="16"/>
      <c r="D265" s="16"/>
      <c r="E265" s="16"/>
      <c r="F265" s="16"/>
      <c r="G265" s="16"/>
      <c r="I265" s="15"/>
      <c r="J265" s="15"/>
      <c r="K265" s="15" t="s">
        <v>53</v>
      </c>
      <c r="L265" s="15"/>
      <c r="M265" s="15"/>
      <c r="N265" s="15"/>
      <c r="O265" s="15"/>
    </row>
    <row r="266" spans="1:15" ht="15.75" thickBot="1" x14ac:dyDescent="0.3">
      <c r="A266" s="1" t="s">
        <v>200</v>
      </c>
      <c r="B266" s="1" t="s">
        <v>34</v>
      </c>
      <c r="C266" s="1" t="s">
        <v>35</v>
      </c>
      <c r="D266" s="1"/>
      <c r="E266" s="1"/>
      <c r="F266" s="1"/>
      <c r="G266" s="1"/>
      <c r="I266" s="15"/>
      <c r="J266" s="15"/>
      <c r="K266" s="15"/>
      <c r="L266" s="17" t="str">
        <f>"'Switch on the first AM416 Multiplexer channel.  PulsePort(DataLogger channel C#, Delay)"</f>
        <v>'Switch on the first AM416 Multiplexer channel.  PulsePort(DataLogger channel C#, Delay)</v>
      </c>
      <c r="M266" s="15"/>
      <c r="N266" s="15"/>
      <c r="O266" s="15"/>
    </row>
    <row r="267" spans="1:15" ht="16.5" thickBot="1" x14ac:dyDescent="0.3">
      <c r="A267" s="5">
        <f>B263</f>
        <v>1</v>
      </c>
      <c r="B267" s="5">
        <v>1</v>
      </c>
      <c r="C267" s="6">
        <v>1</v>
      </c>
      <c r="D267" s="84" t="s">
        <v>243</v>
      </c>
      <c r="E267" s="85"/>
      <c r="F267" s="85"/>
      <c r="G267" s="86"/>
      <c r="I267" s="15"/>
      <c r="J267" s="15"/>
      <c r="K267" s="15"/>
      <c r="L267" s="15" t="str">
        <f>"PulsePort("&amp;ClockComChannel&amp;",10000)"</f>
        <v>PulsePort(1,10000)</v>
      </c>
      <c r="M267" s="15"/>
      <c r="N267" s="15"/>
      <c r="O267" s="15"/>
    </row>
    <row r="268" spans="1:15" x14ac:dyDescent="0.25">
      <c r="I268" s="15"/>
      <c r="J268" s="15"/>
      <c r="K268" s="15"/>
      <c r="L268" s="15"/>
      <c r="M268" s="15" t="s">
        <v>22</v>
      </c>
      <c r="N268" s="15"/>
      <c r="O268" s="15"/>
    </row>
    <row r="269" spans="1:15" x14ac:dyDescent="0.25">
      <c r="I269" s="15"/>
      <c r="J269" s="15"/>
      <c r="K269" s="15"/>
      <c r="L269" s="15"/>
      <c r="M269" s="15" t="str">
        <f>"'Measure SI-111 sensor body thermistor temperature.  Therm109 (Dest, Reps, SEChan, VX/ExChan, SettlingTime, Integ, Mult, Offset)"</f>
        <v>'Measure SI-111 sensor body thermistor temperature.  Therm109 (Dest, Reps, SEChan, VX/ExChan, SettlingTime, Integ, Mult, Offset)</v>
      </c>
      <c r="N269" s="15"/>
      <c r="O269" s="15"/>
    </row>
    <row r="270" spans="1:15" x14ac:dyDescent="0.25">
      <c r="A270" t="str">
        <f>"Therm109(SBT_C("</f>
        <v>Therm109(SBT_C(</v>
      </c>
      <c r="B270">
        <f>B267</f>
        <v>1</v>
      </c>
      <c r="C270" t="s">
        <v>130</v>
      </c>
      <c r="D270">
        <f>VLOOKUP("MUXSEChannel",MUXChans,A267+1,FALSE)</f>
        <v>3</v>
      </c>
      <c r="E270" t="s">
        <v>46</v>
      </c>
      <c r="F270" t="str">
        <f>"VX"&amp;VLOOKUP("MUXVXChannel",MUXChannnels,A267+1,FALSE)</f>
        <v>VX2</v>
      </c>
      <c r="G270" t="s">
        <v>133</v>
      </c>
      <c r="I270" s="15"/>
      <c r="J270" s="15"/>
      <c r="K270" s="15"/>
      <c r="L270" s="15"/>
      <c r="M270" s="15" t="str">
        <f>CONCATENATE(A270,B270,C270,D270,E270,F270,G270)</f>
        <v>Therm109(SBT_C(1),1,3,VX2,0,_60Hz,1,0)</v>
      </c>
      <c r="N270" s="15"/>
      <c r="O270" s="15"/>
    </row>
    <row r="271" spans="1:15" x14ac:dyDescent="0.25">
      <c r="I271" s="15"/>
      <c r="J271" s="15"/>
      <c r="K271" s="15"/>
      <c r="L271" s="15"/>
      <c r="M271" s="15" t="str">
        <f>"'Measure SI-111 output of thermopile.  VoltDiff(Dest, Reps, Range, DiffChan, RevDiff, SettlingTime, Integ, Mult, Offset)"</f>
        <v>'Measure SI-111 output of thermopile.  VoltDiff(Dest, Reps, Range, DiffChan, RevDiff, SettlingTime, Integ, Mult, Offset)</v>
      </c>
      <c r="N271" s="15"/>
      <c r="O271" s="15"/>
    </row>
    <row r="272" spans="1:15" x14ac:dyDescent="0.25">
      <c r="A272" t="str">
        <f>"VoltDiff(TTmV("</f>
        <v>VoltDiff(TTmV(</v>
      </c>
      <c r="B272">
        <f>B267</f>
        <v>1</v>
      </c>
      <c r="C272" t="s">
        <v>131</v>
      </c>
      <c r="D272">
        <f>VLOOKUP("MUXDiffChannel",MUXChans,A267+1,FALSE)</f>
        <v>1</v>
      </c>
      <c r="E272" t="s">
        <v>132</v>
      </c>
      <c r="I272" s="15"/>
      <c r="J272" s="15"/>
      <c r="K272" s="15"/>
      <c r="L272" s="15"/>
      <c r="M272" s="15" t="str">
        <f>CONCATENATE(A272,B272,C272,D272,E272)</f>
        <v>VoltDiff(TTmV(1),1,mV2_5,1,True,0,_60Hz,1,0,)</v>
      </c>
      <c r="N272" s="15"/>
      <c r="O272" s="15"/>
    </row>
    <row r="273" spans="1:15" x14ac:dyDescent="0.25">
      <c r="B273" s="7">
        <v>6</v>
      </c>
      <c r="D273" s="7">
        <v>7</v>
      </c>
      <c r="F273" s="7">
        <v>8</v>
      </c>
      <c r="I273" s="15"/>
      <c r="J273" s="15"/>
      <c r="K273" s="15"/>
      <c r="L273" s="15"/>
      <c r="M273" s="15" t="s">
        <v>15</v>
      </c>
      <c r="N273" s="15"/>
      <c r="O273" s="15"/>
    </row>
    <row r="274" spans="1:15" x14ac:dyDescent="0.25">
      <c r="A274" t="str">
        <f>CONCATENATE("m","(",B267,")=")</f>
        <v>m(1)=</v>
      </c>
      <c r="B274">
        <f>VLOOKUP($C267,SensorCoeffs,B273,FALSE)</f>
        <v>1336310000</v>
      </c>
      <c r="C274" t="str">
        <f>"+("</f>
        <v>+(</v>
      </c>
      <c r="D274">
        <f>VLOOKUP($C267,SensorCoeffs,D273,FALSE)</f>
        <v>7096880</v>
      </c>
      <c r="E274" t="str">
        <f>CONCATENATE("*SBT_C","(",B267,")",")+(")</f>
        <v>*SBT_C(1))+(</v>
      </c>
      <c r="F274">
        <f>VLOOKUP($C267,SensorCoeffs,F273,FALSE)</f>
        <v>75223.899999999994</v>
      </c>
      <c r="G274" t="str">
        <f>CONCATENATE("*SBT_C","(",B267,")^2)")</f>
        <v>*SBT_C(1)^2)</v>
      </c>
      <c r="I274" s="15"/>
      <c r="J274" s="15"/>
      <c r="K274" s="15"/>
      <c r="L274" s="15"/>
      <c r="M274" s="15" t="str">
        <f>CONCATENATE(A274,B274,C274,D274,E274,F274,G274)</f>
        <v>m(1)=1336310000+(7096880*SBT_C(1))+(75223.9*SBT_C(1)^2)</v>
      </c>
      <c r="N274" s="15"/>
      <c r="O274" s="15"/>
    </row>
    <row r="275" spans="1:15" x14ac:dyDescent="0.25">
      <c r="A275" t="str">
        <f>CONCATENATE("b","(",B267,")=")</f>
        <v>b(1)=</v>
      </c>
      <c r="B275">
        <f>VLOOKUP($C267,SensorCoeffs,B273+3,FALSE)</f>
        <v>-2761200</v>
      </c>
      <c r="C275" t="str">
        <f>"+("</f>
        <v>+(</v>
      </c>
      <c r="D275">
        <f>VLOOKUP($C267,SensorCoeffs,D273+3,FALSE)</f>
        <v>-14756.1</v>
      </c>
      <c r="E275" t="str">
        <f>CONCATENATE("*SBT_C","(",B267,")",")+(")</f>
        <v>*SBT_C(1))+(</v>
      </c>
      <c r="F275">
        <f>VLOOKUP($C267,SensorCoeffs,F273+3,FALSE)</f>
        <v>14805.4</v>
      </c>
      <c r="G275" t="str">
        <f>CONCATENATE("*SBT_C","(",B267,")^2)")</f>
        <v>*SBT_C(1)^2)</v>
      </c>
      <c r="I275" s="15"/>
      <c r="J275" s="15"/>
      <c r="K275" s="15"/>
      <c r="L275" s="15"/>
      <c r="M275" s="15" t="str">
        <f>CONCATENATE(A275,B275,C275,D275,E275,F275,G275)</f>
        <v>b(1)=-2761200+(-14756.1*SBT_C(1))+(14805.4*SBT_C(1)^2)</v>
      </c>
      <c r="N275" s="15"/>
      <c r="O275" s="15"/>
    </row>
    <row r="276" spans="1:15" x14ac:dyDescent="0.25">
      <c r="I276" s="15"/>
      <c r="J276" s="15"/>
      <c r="K276" s="15"/>
      <c r="L276" s="15"/>
      <c r="M276" s="15" t="s">
        <v>16</v>
      </c>
      <c r="N276" s="15"/>
      <c r="O276" s="15"/>
    </row>
    <row r="277" spans="1:15" x14ac:dyDescent="0.25">
      <c r="A277" t="str">
        <f>"SBT_K("</f>
        <v>SBT_K(</v>
      </c>
      <c r="B277">
        <f>B267</f>
        <v>1</v>
      </c>
      <c r="C277" t="str">
        <f>")=SBT_C("</f>
        <v>)=SBT_C(</v>
      </c>
      <c r="D277">
        <f>B267</f>
        <v>1</v>
      </c>
      <c r="E277" t="s">
        <v>49</v>
      </c>
      <c r="I277" s="15"/>
      <c r="J277" s="15"/>
      <c r="K277" s="15"/>
      <c r="L277" s="15"/>
      <c r="M277" s="15" t="str">
        <f>CONCATENATE(A277,B277,C277,D277,E277)</f>
        <v>SBT_K(1)=SBT_C(1)+273.15</v>
      </c>
      <c r="N277" s="15"/>
      <c r="O277" s="15"/>
    </row>
    <row r="278" spans="1:15" x14ac:dyDescent="0.25">
      <c r="A278" t="str">
        <f>"TT_K("</f>
        <v>TT_K(</v>
      </c>
      <c r="B278">
        <f>B267</f>
        <v>1</v>
      </c>
      <c r="C278" t="str">
        <f>")=SBT_K("</f>
        <v>)=SBT_K(</v>
      </c>
      <c r="D278">
        <f>B267</f>
        <v>1</v>
      </c>
      <c r="E278" t="str">
        <f>CONCATENATE(")^4+TTmV","(",B267,")")</f>
        <v>)^4+TTmV(1)</v>
      </c>
      <c r="F278" t="str">
        <f>CONCATENATE("*m","(",B267,")")</f>
        <v>*m(1)</v>
      </c>
      <c r="G278" t="str">
        <f>CONCATENATE("+b","(",B267,")")</f>
        <v>+b(1)</v>
      </c>
      <c r="I278" s="15"/>
      <c r="J278" s="15"/>
      <c r="K278" s="15"/>
      <c r="L278" s="15"/>
      <c r="M278" s="15" t="str">
        <f>CONCATENATE(A278,B278,C278,D278,E278,F278,G278)</f>
        <v>TT_K(1)=SBT_K(1)^4+TTmV(1)*m(1)+b(1)</v>
      </c>
      <c r="N278" s="15"/>
      <c r="O278" s="15"/>
    </row>
    <row r="279" spans="1:15" x14ac:dyDescent="0.25">
      <c r="A279" t="str">
        <f>CONCATENATE("TT_K(")</f>
        <v>TT_K(</v>
      </c>
      <c r="B279">
        <f>B267</f>
        <v>1</v>
      </c>
      <c r="C279" t="str">
        <f>")=SQR(SQR(TT_K("</f>
        <v>)=SQR(SQR(TT_K(</v>
      </c>
      <c r="D279">
        <f>B267</f>
        <v>1</v>
      </c>
      <c r="E279" t="s">
        <v>80</v>
      </c>
      <c r="I279" s="15"/>
      <c r="J279" s="15"/>
      <c r="K279" s="15"/>
      <c r="L279" s="15"/>
      <c r="M279" s="15" t="str">
        <f>CONCATENATE(A279,B279,C279,D279,E279)</f>
        <v>TT_K(1)=SQR(SQR(TT_K(1)))</v>
      </c>
      <c r="N279" s="15"/>
      <c r="O279" s="15"/>
    </row>
    <row r="280" spans="1:15" x14ac:dyDescent="0.25">
      <c r="I280" s="15"/>
      <c r="J280" s="15"/>
      <c r="K280" s="15"/>
      <c r="L280" s="15"/>
      <c r="M280" s="15" t="s">
        <v>17</v>
      </c>
      <c r="N280" s="15"/>
      <c r="O280" s="15"/>
    </row>
    <row r="281" spans="1:15" x14ac:dyDescent="0.25">
      <c r="A281" t="str">
        <f>"TT_C("</f>
        <v>TT_C(</v>
      </c>
      <c r="B281">
        <f>B267</f>
        <v>1</v>
      </c>
      <c r="C281" t="str">
        <f>")=TT_K("</f>
        <v>)=TT_K(</v>
      </c>
      <c r="D281">
        <f>B267</f>
        <v>1</v>
      </c>
      <c r="E281" t="s">
        <v>52</v>
      </c>
      <c r="I281" s="15"/>
      <c r="J281" s="15"/>
      <c r="K281" s="15"/>
      <c r="L281" s="15"/>
      <c r="M281" s="15" t="str">
        <f>CONCATENATE(A281,B281,C281,D281,E281)</f>
        <v>TT_C(1)=TT_K(1)-273.15</v>
      </c>
      <c r="N281" s="15"/>
      <c r="O281" s="15"/>
    </row>
    <row r="282" spans="1:15" ht="15.75" thickBot="1" x14ac:dyDescent="0.3">
      <c r="A282" s="1" t="s">
        <v>200</v>
      </c>
      <c r="B282" s="1" t="s">
        <v>34</v>
      </c>
      <c r="C282" s="1" t="s">
        <v>35</v>
      </c>
      <c r="D282" s="1"/>
      <c r="E282" s="1"/>
      <c r="F282" s="1"/>
      <c r="G282" s="1"/>
      <c r="I282" s="15"/>
      <c r="J282" s="15"/>
      <c r="K282" s="15"/>
      <c r="L282" s="17" t="str">
        <f>"'Switch on next AM416 Multiplexer channel.  PulsePort(DataLogger channel C#, Delay)"</f>
        <v>'Switch on next AM416 Multiplexer channel.  PulsePort(DataLogger channel C#, Delay)</v>
      </c>
      <c r="M282" s="15"/>
      <c r="N282" s="15"/>
      <c r="O282" s="15"/>
    </row>
    <row r="283" spans="1:15" ht="16.5" thickBot="1" x14ac:dyDescent="0.3">
      <c r="A283" s="5">
        <f>A267</f>
        <v>1</v>
      </c>
      <c r="B283" s="5">
        <f>B267+1</f>
        <v>2</v>
      </c>
      <c r="C283" s="6">
        <f>C267+1</f>
        <v>2</v>
      </c>
      <c r="D283" s="84" t="s">
        <v>243</v>
      </c>
      <c r="E283" s="85"/>
      <c r="F283" s="85"/>
      <c r="G283" s="86"/>
      <c r="I283" s="15"/>
      <c r="J283" s="15"/>
      <c r="K283" s="15"/>
      <c r="L283" s="15" t="str">
        <f>"PulsePort("&amp;ClockComChannel&amp;",10000)"</f>
        <v>PulsePort(1,10000)</v>
      </c>
      <c r="M283" s="15"/>
      <c r="N283" s="15"/>
      <c r="O283" s="15"/>
    </row>
    <row r="284" spans="1:15" x14ac:dyDescent="0.25">
      <c r="I284" s="15"/>
      <c r="J284" s="15"/>
      <c r="K284" s="15"/>
      <c r="L284" s="15"/>
      <c r="M284" s="15" t="s">
        <v>22</v>
      </c>
      <c r="N284" s="15"/>
      <c r="O284" s="15"/>
    </row>
    <row r="285" spans="1:15" x14ac:dyDescent="0.25">
      <c r="I285" s="15"/>
      <c r="J285" s="15"/>
      <c r="K285" s="15"/>
      <c r="L285" s="15"/>
      <c r="M285" s="15" t="str">
        <f>"'Measure SI-111 sensor body thermistor temperature.  Therm109 (Dest, Reps, SEChan, VX/ExChan, SettlingTime, Integ, Mult, Offset)"</f>
        <v>'Measure SI-111 sensor body thermistor temperature.  Therm109 (Dest, Reps, SEChan, VX/ExChan, SettlingTime, Integ, Mult, Offset)</v>
      </c>
      <c r="N285" s="15"/>
      <c r="O285" s="15"/>
    </row>
    <row r="286" spans="1:15" x14ac:dyDescent="0.25">
      <c r="A286" t="str">
        <f>"Therm109(SBT_C("</f>
        <v>Therm109(SBT_C(</v>
      </c>
      <c r="B286">
        <f>B283</f>
        <v>2</v>
      </c>
      <c r="C286" t="s">
        <v>130</v>
      </c>
      <c r="D286">
        <f>MUX1SEChannel</f>
        <v>3</v>
      </c>
      <c r="E286" t="s">
        <v>46</v>
      </c>
      <c r="F286" t="str">
        <f>"VX"&amp;MUX1VXChannel</f>
        <v>VX2</v>
      </c>
      <c r="G286" t="s">
        <v>133</v>
      </c>
      <c r="I286" s="15"/>
      <c r="J286" s="15"/>
      <c r="K286" s="15"/>
      <c r="L286" s="15"/>
      <c r="M286" s="15" t="str">
        <f>CONCATENATE(A286,B286,C286,D286,E286,F286,G286)</f>
        <v>Therm109(SBT_C(2),1,3,VX2,0,_60Hz,1,0)</v>
      </c>
      <c r="N286" s="15"/>
      <c r="O286" s="15"/>
    </row>
    <row r="287" spans="1:15" x14ac:dyDescent="0.25">
      <c r="I287" s="15"/>
      <c r="J287" s="15"/>
      <c r="K287" s="15"/>
      <c r="L287" s="15"/>
      <c r="M287" s="15" t="str">
        <f>"'Measure SI-111 output of thermopile.  VoltDiff(Dest, Reps, Range, DiffChan, RevDiff, SettlingTime, Integ, Mult, Offset)"</f>
        <v>'Measure SI-111 output of thermopile.  VoltDiff(Dest, Reps, Range, DiffChan, RevDiff, SettlingTime, Integ, Mult, Offset)</v>
      </c>
      <c r="N287" s="15"/>
      <c r="O287" s="15"/>
    </row>
    <row r="288" spans="1:15" x14ac:dyDescent="0.25">
      <c r="A288" t="str">
        <f>"VoltDiff(TTmV("</f>
        <v>VoltDiff(TTmV(</v>
      </c>
      <c r="B288">
        <f>B283</f>
        <v>2</v>
      </c>
      <c r="C288" t="s">
        <v>131</v>
      </c>
      <c r="D288">
        <f>MUX1DiffChannel</f>
        <v>1</v>
      </c>
      <c r="E288" t="s">
        <v>132</v>
      </c>
      <c r="I288" s="15"/>
      <c r="J288" s="15"/>
      <c r="K288" s="15"/>
      <c r="L288" s="15"/>
      <c r="M288" s="15" t="str">
        <f>CONCATENATE(A288,B288,C288,D288,E288)</f>
        <v>VoltDiff(TTmV(2),1,mV2_5,1,True,0,_60Hz,1,0,)</v>
      </c>
      <c r="N288" s="15"/>
      <c r="O288" s="15"/>
    </row>
    <row r="289" spans="1:15" x14ac:dyDescent="0.25">
      <c r="B289" s="7">
        <v>6</v>
      </c>
      <c r="D289" s="7">
        <v>7</v>
      </c>
      <c r="F289" s="7">
        <v>8</v>
      </c>
      <c r="I289" s="15"/>
      <c r="J289" s="15"/>
      <c r="K289" s="15"/>
      <c r="L289" s="15"/>
      <c r="M289" s="15" t="s">
        <v>15</v>
      </c>
      <c r="N289" s="15"/>
      <c r="O289" s="15"/>
    </row>
    <row r="290" spans="1:15" x14ac:dyDescent="0.25">
      <c r="A290" t="str">
        <f>CONCATENATE("m","(",B283,")=")</f>
        <v>m(2)=</v>
      </c>
      <c r="B290">
        <f>VLOOKUP($C283,SensorCoeffs,B289,FALSE)</f>
        <v>1376890000</v>
      </c>
      <c r="C290" t="str">
        <f>"+("</f>
        <v>+(</v>
      </c>
      <c r="D290">
        <f>VLOOKUP($C283,SensorCoeffs,D289,FALSE)</f>
        <v>7239770</v>
      </c>
      <c r="E290" t="str">
        <f>CONCATENATE("*SBT_C","(",B283,")",")+(")</f>
        <v>*SBT_C(2))+(</v>
      </c>
      <c r="F290">
        <f>VLOOKUP($C283,SensorCoeffs,F289,FALSE)</f>
        <v>72395.199999999997</v>
      </c>
      <c r="G290" t="str">
        <f>CONCATENATE("*SBT_C","(",B283,")^2)")</f>
        <v>*SBT_C(2)^2)</v>
      </c>
      <c r="I290" s="15"/>
      <c r="J290" s="15"/>
      <c r="K290" s="15"/>
      <c r="L290" s="15"/>
      <c r="M290" s="15" t="str">
        <f>CONCATENATE(A290,B290,C290,D290,E290,F290,G290)</f>
        <v>m(2)=1376890000+(7239770*SBT_C(2))+(72395.2*SBT_C(2)^2)</v>
      </c>
      <c r="N290" s="15"/>
      <c r="O290" s="15"/>
    </row>
    <row r="291" spans="1:15" x14ac:dyDescent="0.25">
      <c r="A291" t="str">
        <f>CONCATENATE("b","(",B283,")=")</f>
        <v>b(2)=</v>
      </c>
      <c r="B291">
        <f>VLOOKUP($C283,SensorCoeffs,B289+3,FALSE)</f>
        <v>-5217560</v>
      </c>
      <c r="C291" t="str">
        <f>"+("</f>
        <v>+(</v>
      </c>
      <c r="D291">
        <f>VLOOKUP($C283,SensorCoeffs,D289+3,FALSE)</f>
        <v>-45019.4</v>
      </c>
      <c r="E291" t="str">
        <f>CONCATENATE("*SBT_C","(",B283,")",")+(")</f>
        <v>*SBT_C(2))+(</v>
      </c>
      <c r="F291">
        <f>VLOOKUP($C283,SensorCoeffs,F289+3,FALSE)</f>
        <v>15545.3</v>
      </c>
      <c r="G291" t="str">
        <f>CONCATENATE("*SBT_C","(",B283,")^2)")</f>
        <v>*SBT_C(2)^2)</v>
      </c>
      <c r="I291" s="15"/>
      <c r="J291" s="15"/>
      <c r="K291" s="15"/>
      <c r="L291" s="15"/>
      <c r="M291" s="15" t="str">
        <f>CONCATENATE(A291,B291,C291,D291,E291,F291,G291)</f>
        <v>b(2)=-5217560+(-45019.4*SBT_C(2))+(15545.3*SBT_C(2)^2)</v>
      </c>
      <c r="N291" s="15"/>
      <c r="O291" s="15"/>
    </row>
    <row r="292" spans="1:15" x14ac:dyDescent="0.25">
      <c r="I292" s="15"/>
      <c r="J292" s="15"/>
      <c r="K292" s="15"/>
      <c r="L292" s="15"/>
      <c r="M292" s="15" t="s">
        <v>16</v>
      </c>
      <c r="N292" s="15"/>
      <c r="O292" s="15"/>
    </row>
    <row r="293" spans="1:15" x14ac:dyDescent="0.25">
      <c r="A293" t="str">
        <f>"SBT_K("</f>
        <v>SBT_K(</v>
      </c>
      <c r="B293">
        <f>B283</f>
        <v>2</v>
      </c>
      <c r="C293" t="str">
        <f>")=SBT_C("</f>
        <v>)=SBT_C(</v>
      </c>
      <c r="D293">
        <f>B283</f>
        <v>2</v>
      </c>
      <c r="E293" t="s">
        <v>49</v>
      </c>
      <c r="I293" s="15"/>
      <c r="J293" s="15"/>
      <c r="K293" s="15"/>
      <c r="L293" s="15"/>
      <c r="M293" s="15" t="str">
        <f>CONCATENATE(A293,B293,C293,D293,E293)</f>
        <v>SBT_K(2)=SBT_C(2)+273.15</v>
      </c>
      <c r="N293" s="15"/>
      <c r="O293" s="15"/>
    </row>
    <row r="294" spans="1:15" x14ac:dyDescent="0.25">
      <c r="A294" t="str">
        <f>"TT_K("</f>
        <v>TT_K(</v>
      </c>
      <c r="B294">
        <f>B283</f>
        <v>2</v>
      </c>
      <c r="C294" t="str">
        <f>")=SBT_K("</f>
        <v>)=SBT_K(</v>
      </c>
      <c r="D294">
        <f>B283</f>
        <v>2</v>
      </c>
      <c r="E294" t="str">
        <f>CONCATENATE(")^4+TTmV","(",B283,")")</f>
        <v>)^4+TTmV(2)</v>
      </c>
      <c r="F294" t="str">
        <f>CONCATENATE("*m","(",B283,")")</f>
        <v>*m(2)</v>
      </c>
      <c r="G294" t="str">
        <f>CONCATENATE("+b","(",B283,")")</f>
        <v>+b(2)</v>
      </c>
      <c r="I294" s="15"/>
      <c r="J294" s="15"/>
      <c r="K294" s="15"/>
      <c r="L294" s="15"/>
      <c r="M294" s="15" t="str">
        <f>CONCATENATE(A294,B294,C294,D294,E294,F294,G294)</f>
        <v>TT_K(2)=SBT_K(2)^4+TTmV(2)*m(2)+b(2)</v>
      </c>
      <c r="N294" s="15"/>
      <c r="O294" s="15"/>
    </row>
    <row r="295" spans="1:15" x14ac:dyDescent="0.25">
      <c r="A295" t="str">
        <f>CONCATENATE("TT_K(")</f>
        <v>TT_K(</v>
      </c>
      <c r="B295">
        <f>B283</f>
        <v>2</v>
      </c>
      <c r="C295" t="str">
        <f>")=SQR(SQR(TT_K("</f>
        <v>)=SQR(SQR(TT_K(</v>
      </c>
      <c r="D295">
        <f>B283</f>
        <v>2</v>
      </c>
      <c r="E295" t="s">
        <v>80</v>
      </c>
      <c r="I295" s="15"/>
      <c r="J295" s="15"/>
      <c r="K295" s="15"/>
      <c r="L295" s="15"/>
      <c r="M295" s="15" t="str">
        <f>CONCATENATE(A295,B295,C295,D295,E295)</f>
        <v>TT_K(2)=SQR(SQR(TT_K(2)))</v>
      </c>
      <c r="N295" s="15"/>
      <c r="O295" s="15"/>
    </row>
    <row r="296" spans="1:15" x14ac:dyDescent="0.25">
      <c r="I296" s="15"/>
      <c r="J296" s="15"/>
      <c r="K296" s="15"/>
      <c r="L296" s="15"/>
      <c r="M296" s="15" t="s">
        <v>17</v>
      </c>
      <c r="N296" s="15"/>
      <c r="O296" s="15"/>
    </row>
    <row r="297" spans="1:15" x14ac:dyDescent="0.25">
      <c r="A297" t="str">
        <f>"TT_C("</f>
        <v>TT_C(</v>
      </c>
      <c r="B297">
        <f>B283</f>
        <v>2</v>
      </c>
      <c r="C297" t="str">
        <f>")=TT_K("</f>
        <v>)=TT_K(</v>
      </c>
      <c r="D297">
        <f>B283</f>
        <v>2</v>
      </c>
      <c r="E297" t="s">
        <v>52</v>
      </c>
      <c r="I297" s="15"/>
      <c r="J297" s="15"/>
      <c r="K297" s="15"/>
      <c r="L297" s="15"/>
      <c r="M297" s="15" t="str">
        <f>CONCATENATE(A297,B297,C297,D297,E297)</f>
        <v>TT_C(2)=TT_K(2)-273.15</v>
      </c>
      <c r="N297" s="15"/>
      <c r="O297" s="15"/>
    </row>
    <row r="298" spans="1:15" ht="15.75" thickBot="1" x14ac:dyDescent="0.3">
      <c r="A298" s="1" t="s">
        <v>200</v>
      </c>
      <c r="B298" s="1" t="s">
        <v>34</v>
      </c>
      <c r="C298" s="1" t="s">
        <v>35</v>
      </c>
      <c r="D298" s="1"/>
      <c r="E298" s="1"/>
      <c r="F298" s="1"/>
      <c r="G298" s="1"/>
      <c r="I298" s="15"/>
      <c r="J298" s="15"/>
      <c r="K298" s="15"/>
      <c r="L298" s="17" t="str">
        <f>"'Switch on next AM416 Multiplexer channel.  PulsePort(DataLogger channel C#, Delay)"</f>
        <v>'Switch on next AM416 Multiplexer channel.  PulsePort(DataLogger channel C#, Delay)</v>
      </c>
      <c r="M298" s="15"/>
      <c r="N298" s="15"/>
      <c r="O298" s="15"/>
    </row>
    <row r="299" spans="1:15" ht="16.5" thickBot="1" x14ac:dyDescent="0.3">
      <c r="A299" s="5">
        <f>A283</f>
        <v>1</v>
      </c>
      <c r="B299" s="5">
        <f>B283+1</f>
        <v>3</v>
      </c>
      <c r="C299" s="6">
        <f>C283+1</f>
        <v>3</v>
      </c>
      <c r="D299" s="84" t="s">
        <v>243</v>
      </c>
      <c r="E299" s="85"/>
      <c r="F299" s="85"/>
      <c r="G299" s="86"/>
      <c r="I299" s="15"/>
      <c r="J299" s="15"/>
      <c r="K299" s="15"/>
      <c r="L299" s="15" t="str">
        <f>"PulsePort("&amp;ClockComChannel&amp;",10000)"</f>
        <v>PulsePort(1,10000)</v>
      </c>
      <c r="M299" s="15"/>
      <c r="N299" s="15"/>
      <c r="O299" s="15"/>
    </row>
    <row r="300" spans="1:15" x14ac:dyDescent="0.25">
      <c r="I300" s="15"/>
      <c r="J300" s="15"/>
      <c r="K300" s="15"/>
      <c r="L300" s="15"/>
      <c r="M300" s="15" t="s">
        <v>22</v>
      </c>
      <c r="N300" s="15"/>
      <c r="O300" s="15"/>
    </row>
    <row r="301" spans="1:15" x14ac:dyDescent="0.25">
      <c r="I301" s="15"/>
      <c r="J301" s="15"/>
      <c r="K301" s="15"/>
      <c r="L301" s="15"/>
      <c r="M301" s="15" t="str">
        <f>"'Measure SI-111 sensor body thermistor temperature.  Therm109 (Dest, Reps, SEChan, VX/ExChan, SettlingTime, Integ, Mult, Offset)"</f>
        <v>'Measure SI-111 sensor body thermistor temperature.  Therm109 (Dest, Reps, SEChan, VX/ExChan, SettlingTime, Integ, Mult, Offset)</v>
      </c>
      <c r="N301" s="15"/>
      <c r="O301" s="15"/>
    </row>
    <row r="302" spans="1:15" x14ac:dyDescent="0.25">
      <c r="A302" t="str">
        <f>"Therm109(SBT_C("</f>
        <v>Therm109(SBT_C(</v>
      </c>
      <c r="B302">
        <f>B299</f>
        <v>3</v>
      </c>
      <c r="C302" t="s">
        <v>130</v>
      </c>
      <c r="D302">
        <f>MUX1SEChannel</f>
        <v>3</v>
      </c>
      <c r="E302" t="s">
        <v>46</v>
      </c>
      <c r="F302" t="str">
        <f>"VX"&amp;MUX1VXChannel</f>
        <v>VX2</v>
      </c>
      <c r="G302" t="s">
        <v>133</v>
      </c>
      <c r="I302" s="15"/>
      <c r="J302" s="15"/>
      <c r="K302" s="15"/>
      <c r="L302" s="15"/>
      <c r="M302" s="15" t="str">
        <f>CONCATENATE(A302,B302,C302,D302,E302,F302,G302)</f>
        <v>Therm109(SBT_C(3),1,3,VX2,0,_60Hz,1,0)</v>
      </c>
      <c r="N302" s="15"/>
      <c r="O302" s="15"/>
    </row>
    <row r="303" spans="1:15" x14ac:dyDescent="0.25">
      <c r="I303" s="15"/>
      <c r="J303" s="15"/>
      <c r="K303" s="15"/>
      <c r="L303" s="15"/>
      <c r="M303" s="15" t="str">
        <f>"'Measure SI-111 output of thermopile.  VoltDiff(Dest, Reps, Range, DiffChan, RevDiff, SettlingTime, Integ, Mult, Offset)"</f>
        <v>'Measure SI-111 output of thermopile.  VoltDiff(Dest, Reps, Range, DiffChan, RevDiff, SettlingTime, Integ, Mult, Offset)</v>
      </c>
      <c r="N303" s="15"/>
      <c r="O303" s="15"/>
    </row>
    <row r="304" spans="1:15" x14ac:dyDescent="0.25">
      <c r="A304" t="str">
        <f>"VoltDiff(TTmV("</f>
        <v>VoltDiff(TTmV(</v>
      </c>
      <c r="B304">
        <f>B299</f>
        <v>3</v>
      </c>
      <c r="C304" t="s">
        <v>131</v>
      </c>
      <c r="D304">
        <f>MUX1DiffChannel</f>
        <v>1</v>
      </c>
      <c r="E304" t="s">
        <v>132</v>
      </c>
      <c r="I304" s="15"/>
      <c r="J304" s="15"/>
      <c r="K304" s="15"/>
      <c r="L304" s="15"/>
      <c r="M304" s="15" t="str">
        <f>CONCATENATE(A304,B304,C304,D304,E304)</f>
        <v>VoltDiff(TTmV(3),1,mV2_5,1,True,0,_60Hz,1,0,)</v>
      </c>
      <c r="N304" s="15"/>
      <c r="O304" s="15"/>
    </row>
    <row r="305" spans="1:15" x14ac:dyDescent="0.25">
      <c r="B305" s="7">
        <v>6</v>
      </c>
      <c r="D305" s="7">
        <v>7</v>
      </c>
      <c r="F305" s="7">
        <v>8</v>
      </c>
      <c r="I305" s="15"/>
      <c r="J305" s="15"/>
      <c r="K305" s="15"/>
      <c r="L305" s="15"/>
      <c r="M305" s="15" t="s">
        <v>15</v>
      </c>
      <c r="N305" s="15"/>
      <c r="O305" s="15"/>
    </row>
    <row r="306" spans="1:15" x14ac:dyDescent="0.25">
      <c r="A306" t="str">
        <f>CONCATENATE("m","(",B299,")=")</f>
        <v>m(3)=</v>
      </c>
      <c r="B306">
        <f>VLOOKUP($C299,SensorCoeffs,B305,FALSE)</f>
        <v>1392520000</v>
      </c>
      <c r="C306" t="str">
        <f>"+("</f>
        <v>+(</v>
      </c>
      <c r="D306">
        <f>VLOOKUP($C299,SensorCoeffs,D305,FALSE)</f>
        <v>7230830</v>
      </c>
      <c r="E306" t="str">
        <f>CONCATENATE("*SBT_C","(",B299,")",")+(")</f>
        <v>*SBT_C(3))+(</v>
      </c>
      <c r="F306">
        <f>VLOOKUP($C299,SensorCoeffs,F305,FALSE)</f>
        <v>75298.8</v>
      </c>
      <c r="G306" t="str">
        <f>CONCATENATE("*SBT_C","(",B299,")^2)")</f>
        <v>*SBT_C(3)^2)</v>
      </c>
      <c r="I306" s="15"/>
      <c r="J306" s="15"/>
      <c r="K306" s="15"/>
      <c r="L306" s="15"/>
      <c r="M306" s="15" t="str">
        <f>CONCATENATE(A306,B306,C306,D306,E306,F306,G306)</f>
        <v>m(3)=1392520000+(7230830*SBT_C(3))+(75298.8*SBT_C(3)^2)</v>
      </c>
      <c r="N306" s="15"/>
      <c r="O306" s="15"/>
    </row>
    <row r="307" spans="1:15" x14ac:dyDescent="0.25">
      <c r="A307" t="str">
        <f>CONCATENATE("b","(",B299,")=")</f>
        <v>b(3)=</v>
      </c>
      <c r="B307">
        <f>VLOOKUP($C299,SensorCoeffs,B305+3,FALSE)</f>
        <v>-2209980</v>
      </c>
      <c r="C307" t="str">
        <f>"+("</f>
        <v>+(</v>
      </c>
      <c r="D307">
        <f>VLOOKUP($C299,SensorCoeffs,D305+3,FALSE)</f>
        <v>-62020</v>
      </c>
      <c r="E307" t="str">
        <f>CONCATENATE("*SBT_C","(",B299,")",")+(")</f>
        <v>*SBT_C(3))+(</v>
      </c>
      <c r="F307">
        <f>VLOOKUP($C299,SensorCoeffs,F305+3,FALSE)</f>
        <v>14222.2</v>
      </c>
      <c r="G307" t="str">
        <f>CONCATENATE("*SBT_C","(",B299,")^2)")</f>
        <v>*SBT_C(3)^2)</v>
      </c>
      <c r="I307" s="15"/>
      <c r="J307" s="15"/>
      <c r="K307" s="15"/>
      <c r="L307" s="15"/>
      <c r="M307" s="15" t="str">
        <f>CONCATENATE(A307,B307,C307,D307,E307,F307,G307)</f>
        <v>b(3)=-2209980+(-62020*SBT_C(3))+(14222.2*SBT_C(3)^2)</v>
      </c>
      <c r="N307" s="15"/>
      <c r="O307" s="15"/>
    </row>
    <row r="308" spans="1:15" x14ac:dyDescent="0.25">
      <c r="I308" s="15"/>
      <c r="J308" s="15"/>
      <c r="K308" s="15"/>
      <c r="L308" s="15"/>
      <c r="M308" s="15" t="s">
        <v>16</v>
      </c>
      <c r="N308" s="15"/>
      <c r="O308" s="15"/>
    </row>
    <row r="309" spans="1:15" x14ac:dyDescent="0.25">
      <c r="A309" t="str">
        <f>"SBT_K("</f>
        <v>SBT_K(</v>
      </c>
      <c r="B309">
        <f>B299</f>
        <v>3</v>
      </c>
      <c r="C309" t="str">
        <f>")=SBT_C("</f>
        <v>)=SBT_C(</v>
      </c>
      <c r="D309">
        <f>B299</f>
        <v>3</v>
      </c>
      <c r="E309" t="s">
        <v>49</v>
      </c>
      <c r="I309" s="15"/>
      <c r="J309" s="15"/>
      <c r="K309" s="15"/>
      <c r="L309" s="15"/>
      <c r="M309" s="15" t="str">
        <f>CONCATENATE(A309,B309,C309,D309,E309)</f>
        <v>SBT_K(3)=SBT_C(3)+273.15</v>
      </c>
      <c r="N309" s="15"/>
      <c r="O309" s="15"/>
    </row>
    <row r="310" spans="1:15" x14ac:dyDescent="0.25">
      <c r="A310" t="str">
        <f>"TT_K("</f>
        <v>TT_K(</v>
      </c>
      <c r="B310">
        <f>B299</f>
        <v>3</v>
      </c>
      <c r="C310" t="str">
        <f>")=SBT_K("</f>
        <v>)=SBT_K(</v>
      </c>
      <c r="D310">
        <f>B299</f>
        <v>3</v>
      </c>
      <c r="E310" t="str">
        <f>CONCATENATE(")^4+TTmV","(",B299,")")</f>
        <v>)^4+TTmV(3)</v>
      </c>
      <c r="F310" t="str">
        <f>CONCATENATE("*m","(",B299,")")</f>
        <v>*m(3)</v>
      </c>
      <c r="G310" t="str">
        <f>CONCATENATE("+b","(",B299,")")</f>
        <v>+b(3)</v>
      </c>
      <c r="I310" s="15"/>
      <c r="J310" s="15"/>
      <c r="K310" s="15"/>
      <c r="L310" s="15"/>
      <c r="M310" s="15" t="str">
        <f>CONCATENATE(A310,B310,C310,D310,E310,F310,G310)</f>
        <v>TT_K(3)=SBT_K(3)^4+TTmV(3)*m(3)+b(3)</v>
      </c>
      <c r="N310" s="15"/>
      <c r="O310" s="15"/>
    </row>
    <row r="311" spans="1:15" x14ac:dyDescent="0.25">
      <c r="A311" t="str">
        <f>CONCATENATE("TT_K(")</f>
        <v>TT_K(</v>
      </c>
      <c r="B311">
        <f>B299</f>
        <v>3</v>
      </c>
      <c r="C311" t="str">
        <f>")=SQR(SQR(TT_K("</f>
        <v>)=SQR(SQR(TT_K(</v>
      </c>
      <c r="D311">
        <f>B299</f>
        <v>3</v>
      </c>
      <c r="E311" t="s">
        <v>80</v>
      </c>
      <c r="I311" s="15"/>
      <c r="J311" s="15"/>
      <c r="K311" s="15"/>
      <c r="L311" s="15"/>
      <c r="M311" s="15" t="str">
        <f>CONCATENATE(A311,B311,C311,D311,E311)</f>
        <v>TT_K(3)=SQR(SQR(TT_K(3)))</v>
      </c>
      <c r="N311" s="15"/>
      <c r="O311" s="15"/>
    </row>
    <row r="312" spans="1:15" x14ac:dyDescent="0.25">
      <c r="I312" s="15"/>
      <c r="J312" s="15"/>
      <c r="K312" s="15"/>
      <c r="L312" s="15"/>
      <c r="M312" s="15" t="s">
        <v>17</v>
      </c>
      <c r="N312" s="15"/>
      <c r="O312" s="15"/>
    </row>
    <row r="313" spans="1:15" x14ac:dyDescent="0.25">
      <c r="A313" t="str">
        <f>"TT_C("</f>
        <v>TT_C(</v>
      </c>
      <c r="B313">
        <f>B299</f>
        <v>3</v>
      </c>
      <c r="C313" t="str">
        <f>")=TT_K("</f>
        <v>)=TT_K(</v>
      </c>
      <c r="D313">
        <f>B299</f>
        <v>3</v>
      </c>
      <c r="E313" t="s">
        <v>52</v>
      </c>
      <c r="I313" s="15"/>
      <c r="J313" s="15"/>
      <c r="K313" s="15"/>
      <c r="L313" s="15"/>
      <c r="M313" s="15" t="str">
        <f>CONCATENATE(A313,B313,C313,D313,E313)</f>
        <v>TT_C(3)=TT_K(3)-273.15</v>
      </c>
      <c r="N313" s="15"/>
      <c r="O313" s="15"/>
    </row>
    <row r="314" spans="1:15" ht="15.75" thickBot="1" x14ac:dyDescent="0.3">
      <c r="A314" s="1" t="s">
        <v>200</v>
      </c>
      <c r="B314" s="1" t="s">
        <v>34</v>
      </c>
      <c r="C314" s="1" t="s">
        <v>35</v>
      </c>
      <c r="D314" s="1"/>
      <c r="E314" s="1"/>
      <c r="F314" s="1"/>
      <c r="G314" s="1"/>
      <c r="I314" s="15"/>
      <c r="J314" s="15"/>
      <c r="K314" s="15"/>
      <c r="L314" s="17" t="str">
        <f>"'Switch on next AM416 Multiplexer channel.  PulsePort(DataLogger channel C#, Delay)"</f>
        <v>'Switch on next AM416 Multiplexer channel.  PulsePort(DataLogger channel C#, Delay)</v>
      </c>
      <c r="M314" s="15"/>
      <c r="N314" s="15"/>
      <c r="O314" s="15"/>
    </row>
    <row r="315" spans="1:15" ht="16.5" thickBot="1" x14ac:dyDescent="0.3">
      <c r="A315" s="5">
        <f>A299</f>
        <v>1</v>
      </c>
      <c r="B315" s="5">
        <f>B299+1</f>
        <v>4</v>
      </c>
      <c r="C315" s="6">
        <f>C299+1</f>
        <v>4</v>
      </c>
      <c r="D315" s="84" t="s">
        <v>243</v>
      </c>
      <c r="E315" s="85"/>
      <c r="F315" s="85"/>
      <c r="G315" s="86"/>
      <c r="I315" s="15"/>
      <c r="J315" s="15"/>
      <c r="K315" s="15"/>
      <c r="L315" s="15" t="str">
        <f>"PulsePort("&amp;ClockComChannel&amp;",10000)"</f>
        <v>PulsePort(1,10000)</v>
      </c>
      <c r="M315" s="15"/>
      <c r="N315" s="15"/>
      <c r="O315" s="15"/>
    </row>
    <row r="316" spans="1:15" x14ac:dyDescent="0.25">
      <c r="I316" s="15"/>
      <c r="J316" s="15"/>
      <c r="K316" s="15"/>
      <c r="L316" s="15"/>
      <c r="M316" s="15" t="s">
        <v>22</v>
      </c>
      <c r="N316" s="15"/>
      <c r="O316" s="15"/>
    </row>
    <row r="317" spans="1:15" x14ac:dyDescent="0.25">
      <c r="I317" s="15"/>
      <c r="J317" s="15"/>
      <c r="K317" s="15"/>
      <c r="L317" s="15"/>
      <c r="M317" s="15" t="str">
        <f>"'Measure SI-111 sensor body thermistor temperature.  Therm109 (Dest, Reps, SEChan, VX/ExChan, SettlingTime, Integ, Mult, Offset)"</f>
        <v>'Measure SI-111 sensor body thermistor temperature.  Therm109 (Dest, Reps, SEChan, VX/ExChan, SettlingTime, Integ, Mult, Offset)</v>
      </c>
      <c r="N317" s="15"/>
      <c r="O317" s="15"/>
    </row>
    <row r="318" spans="1:15" x14ac:dyDescent="0.25">
      <c r="A318" t="str">
        <f>"Therm109(SBT_C("</f>
        <v>Therm109(SBT_C(</v>
      </c>
      <c r="B318">
        <f>B315</f>
        <v>4</v>
      </c>
      <c r="C318" t="s">
        <v>130</v>
      </c>
      <c r="D318">
        <f>MUX1SEChannel</f>
        <v>3</v>
      </c>
      <c r="E318" t="s">
        <v>46</v>
      </c>
      <c r="F318" t="str">
        <f>"VX"&amp;MUX1VXChannel</f>
        <v>VX2</v>
      </c>
      <c r="G318" t="s">
        <v>133</v>
      </c>
      <c r="I318" s="15"/>
      <c r="J318" s="15"/>
      <c r="K318" s="15"/>
      <c r="L318" s="15"/>
      <c r="M318" s="15" t="str">
        <f>CONCATENATE(A318,B318,C318,D318,E318,F318,G318)</f>
        <v>Therm109(SBT_C(4),1,3,VX2,0,_60Hz,1,0)</v>
      </c>
      <c r="N318" s="15"/>
      <c r="O318" s="15"/>
    </row>
    <row r="319" spans="1:15" x14ac:dyDescent="0.25">
      <c r="I319" s="15"/>
      <c r="J319" s="15"/>
      <c r="K319" s="15"/>
      <c r="L319" s="15"/>
      <c r="M319" s="15" t="str">
        <f>"'Measure SI-111 output of thermopile.  VoltDiff(Dest, Reps, Range, DiffChan, RevDiff, SettlingTime, Integ, Mult, Offset)"</f>
        <v>'Measure SI-111 output of thermopile.  VoltDiff(Dest, Reps, Range, DiffChan, RevDiff, SettlingTime, Integ, Mult, Offset)</v>
      </c>
      <c r="N319" s="15"/>
      <c r="O319" s="15"/>
    </row>
    <row r="320" spans="1:15" x14ac:dyDescent="0.25">
      <c r="A320" t="str">
        <f>"VoltDiff(TTmV("</f>
        <v>VoltDiff(TTmV(</v>
      </c>
      <c r="B320">
        <f>B315</f>
        <v>4</v>
      </c>
      <c r="C320" t="s">
        <v>131</v>
      </c>
      <c r="D320">
        <f>MUX1DiffChannel</f>
        <v>1</v>
      </c>
      <c r="E320" t="s">
        <v>132</v>
      </c>
      <c r="I320" s="15"/>
      <c r="J320" s="15"/>
      <c r="K320" s="15"/>
      <c r="L320" s="15"/>
      <c r="M320" s="15" t="str">
        <f>CONCATENATE(A320,B320,C320,D320,E320)</f>
        <v>VoltDiff(TTmV(4),1,mV2_5,1,True,0,_60Hz,1,0,)</v>
      </c>
      <c r="N320" s="15"/>
      <c r="O320" s="15"/>
    </row>
    <row r="321" spans="1:15" x14ac:dyDescent="0.25">
      <c r="B321" s="7">
        <v>6</v>
      </c>
      <c r="D321" s="7">
        <v>7</v>
      </c>
      <c r="F321" s="7">
        <v>8</v>
      </c>
      <c r="I321" s="15"/>
      <c r="J321" s="15"/>
      <c r="K321" s="15"/>
      <c r="L321" s="15"/>
      <c r="M321" s="15" t="s">
        <v>15</v>
      </c>
      <c r="N321" s="15"/>
      <c r="O321" s="15"/>
    </row>
    <row r="322" spans="1:15" x14ac:dyDescent="0.25">
      <c r="A322" t="str">
        <f>CONCATENATE("m","(",B315,")=")</f>
        <v>m(4)=</v>
      </c>
      <c r="B322">
        <f>VLOOKUP($C315,SensorCoeffs,B321,FALSE)</f>
        <v>1341860000</v>
      </c>
      <c r="C322" t="str">
        <f>"+("</f>
        <v>+(</v>
      </c>
      <c r="D322">
        <f>VLOOKUP($C315,SensorCoeffs,D321,FALSE)</f>
        <v>7045270</v>
      </c>
      <c r="E322" t="str">
        <f>CONCATENATE("*SBT_C","(",B315,")",")+(")</f>
        <v>*SBT_C(4))+(</v>
      </c>
      <c r="F322">
        <f>VLOOKUP($C315,SensorCoeffs,F321,FALSE)</f>
        <v>73401.399999999994</v>
      </c>
      <c r="G322" t="str">
        <f>CONCATENATE("*SBT_C","(",B315,")^2)")</f>
        <v>*SBT_C(4)^2)</v>
      </c>
      <c r="I322" s="15"/>
      <c r="J322" s="15"/>
      <c r="K322" s="15"/>
      <c r="L322" s="15"/>
      <c r="M322" s="15" t="str">
        <f>CONCATENATE(A322,B322,C322,D322,E322,F322,G322)</f>
        <v>m(4)=1341860000+(7045270*SBT_C(4))+(73401.4*SBT_C(4)^2)</v>
      </c>
      <c r="N322" s="15"/>
      <c r="O322" s="15"/>
    </row>
    <row r="323" spans="1:15" x14ac:dyDescent="0.25">
      <c r="A323" t="str">
        <f>CONCATENATE("b","(",B315,")=")</f>
        <v>b(4)=</v>
      </c>
      <c r="B323">
        <f>VLOOKUP($C315,SensorCoeffs,B321+3,FALSE)</f>
        <v>647879</v>
      </c>
      <c r="C323" t="str">
        <f>"+("</f>
        <v>+(</v>
      </c>
      <c r="D323">
        <f>VLOOKUP($C315,SensorCoeffs,D321+3,FALSE)</f>
        <v>24049.599999999999</v>
      </c>
      <c r="E323" t="str">
        <f>CONCATENATE("*SBT_C","(",B315,")",")+(")</f>
        <v>*SBT_C(4))+(</v>
      </c>
      <c r="F323">
        <f>VLOOKUP($C315,SensorCoeffs,F321+3,FALSE)</f>
        <v>14900.8</v>
      </c>
      <c r="G323" t="str">
        <f>CONCATENATE("*SBT_C","(",B315,")^2)")</f>
        <v>*SBT_C(4)^2)</v>
      </c>
      <c r="I323" s="15"/>
      <c r="J323" s="15"/>
      <c r="K323" s="15"/>
      <c r="L323" s="15"/>
      <c r="M323" s="15" t="str">
        <f>CONCATENATE(A323,B323,C323,D323,E323,F323,G323)</f>
        <v>b(4)=647879+(24049.6*SBT_C(4))+(14900.8*SBT_C(4)^2)</v>
      </c>
      <c r="N323" s="15"/>
      <c r="O323" s="15"/>
    </row>
    <row r="324" spans="1:15" x14ac:dyDescent="0.25">
      <c r="I324" s="15"/>
      <c r="J324" s="15"/>
      <c r="K324" s="15"/>
      <c r="L324" s="15"/>
      <c r="M324" s="15" t="s">
        <v>16</v>
      </c>
      <c r="N324" s="15"/>
      <c r="O324" s="15"/>
    </row>
    <row r="325" spans="1:15" x14ac:dyDescent="0.25">
      <c r="A325" t="str">
        <f>"SBT_K("</f>
        <v>SBT_K(</v>
      </c>
      <c r="B325">
        <f>B315</f>
        <v>4</v>
      </c>
      <c r="C325" t="str">
        <f>")=SBT_C("</f>
        <v>)=SBT_C(</v>
      </c>
      <c r="D325">
        <f>B315</f>
        <v>4</v>
      </c>
      <c r="E325" t="s">
        <v>49</v>
      </c>
      <c r="I325" s="15"/>
      <c r="J325" s="15"/>
      <c r="K325" s="15"/>
      <c r="L325" s="15"/>
      <c r="M325" s="15" t="str">
        <f>CONCATENATE(A325,B325,C325,D325,E325)</f>
        <v>SBT_K(4)=SBT_C(4)+273.15</v>
      </c>
      <c r="N325" s="15"/>
      <c r="O325" s="15"/>
    </row>
    <row r="326" spans="1:15" x14ac:dyDescent="0.25">
      <c r="A326" t="str">
        <f>"TT_K("</f>
        <v>TT_K(</v>
      </c>
      <c r="B326">
        <f>B315</f>
        <v>4</v>
      </c>
      <c r="C326" t="str">
        <f>")=SBT_K("</f>
        <v>)=SBT_K(</v>
      </c>
      <c r="D326">
        <f>B315</f>
        <v>4</v>
      </c>
      <c r="E326" t="str">
        <f>CONCATENATE(")^4+TTmV","(",B315,")")</f>
        <v>)^4+TTmV(4)</v>
      </c>
      <c r="F326" t="str">
        <f>CONCATENATE("*m","(",B315,")")</f>
        <v>*m(4)</v>
      </c>
      <c r="G326" t="str">
        <f>CONCATENATE("+b","(",B315,")")</f>
        <v>+b(4)</v>
      </c>
      <c r="I326" s="15"/>
      <c r="J326" s="15"/>
      <c r="K326" s="15"/>
      <c r="L326" s="15"/>
      <c r="M326" s="15" t="str">
        <f>CONCATENATE(A326,B326,C326,D326,E326,F326,G326)</f>
        <v>TT_K(4)=SBT_K(4)^4+TTmV(4)*m(4)+b(4)</v>
      </c>
      <c r="N326" s="15"/>
      <c r="O326" s="15"/>
    </row>
    <row r="327" spans="1:15" x14ac:dyDescent="0.25">
      <c r="A327" t="str">
        <f>CONCATENATE("TT_K(")</f>
        <v>TT_K(</v>
      </c>
      <c r="B327">
        <f>B315</f>
        <v>4</v>
      </c>
      <c r="C327" t="str">
        <f>")=SQR(SQR(TT_K("</f>
        <v>)=SQR(SQR(TT_K(</v>
      </c>
      <c r="D327">
        <f>B315</f>
        <v>4</v>
      </c>
      <c r="E327" t="s">
        <v>80</v>
      </c>
      <c r="I327" s="15"/>
      <c r="J327" s="15"/>
      <c r="K327" s="15"/>
      <c r="L327" s="15"/>
      <c r="M327" s="15" t="str">
        <f>CONCATENATE(A327,B327,C327,D327,E327)</f>
        <v>TT_K(4)=SQR(SQR(TT_K(4)))</v>
      </c>
      <c r="N327" s="15"/>
      <c r="O327" s="15"/>
    </row>
    <row r="328" spans="1:15" x14ac:dyDescent="0.25">
      <c r="I328" s="15"/>
      <c r="J328" s="15"/>
      <c r="K328" s="15"/>
      <c r="L328" s="15"/>
      <c r="M328" s="15" t="s">
        <v>17</v>
      </c>
      <c r="N328" s="15"/>
      <c r="O328" s="15"/>
    </row>
    <row r="329" spans="1:15" x14ac:dyDescent="0.25">
      <c r="A329" t="str">
        <f>"TT_C("</f>
        <v>TT_C(</v>
      </c>
      <c r="B329">
        <f>B315</f>
        <v>4</v>
      </c>
      <c r="C329" t="str">
        <f>")=TT_K("</f>
        <v>)=TT_K(</v>
      </c>
      <c r="D329">
        <f>B315</f>
        <v>4</v>
      </c>
      <c r="E329" t="s">
        <v>52</v>
      </c>
      <c r="I329" s="15"/>
      <c r="J329" s="15"/>
      <c r="K329" s="15"/>
      <c r="L329" s="15"/>
      <c r="M329" s="15" t="str">
        <f>CONCATENATE(A329,B329,C329,D329,E329)</f>
        <v>TT_C(4)=TT_K(4)-273.15</v>
      </c>
      <c r="N329" s="15"/>
      <c r="O329" s="15"/>
    </row>
    <row r="330" spans="1:15" ht="15.75" thickBot="1" x14ac:dyDescent="0.3">
      <c r="A330" s="1" t="s">
        <v>200</v>
      </c>
      <c r="B330" s="1" t="s">
        <v>34</v>
      </c>
      <c r="C330" s="1" t="s">
        <v>35</v>
      </c>
      <c r="D330" s="1"/>
      <c r="E330" s="1"/>
      <c r="F330" s="1"/>
      <c r="G330" s="1"/>
      <c r="I330" s="15"/>
      <c r="J330" s="15"/>
      <c r="K330" s="15"/>
      <c r="L330" s="17" t="str">
        <f>"'Switch on next AM416 Multiplexer channel.  PulsePort(DataLogger channel C#, Delay)"</f>
        <v>'Switch on next AM416 Multiplexer channel.  PulsePort(DataLogger channel C#, Delay)</v>
      </c>
      <c r="M330" s="15"/>
      <c r="N330" s="15"/>
      <c r="O330" s="15"/>
    </row>
    <row r="331" spans="1:15" ht="16.5" thickBot="1" x14ac:dyDescent="0.3">
      <c r="A331" s="5">
        <f>A315</f>
        <v>1</v>
      </c>
      <c r="B331" s="5">
        <f>B315+1</f>
        <v>5</v>
      </c>
      <c r="C331" s="6">
        <f>C315+1</f>
        <v>5</v>
      </c>
      <c r="D331" s="84" t="s">
        <v>243</v>
      </c>
      <c r="E331" s="85"/>
      <c r="F331" s="85"/>
      <c r="G331" s="86"/>
      <c r="I331" s="15"/>
      <c r="J331" s="15"/>
      <c r="K331" s="15"/>
      <c r="L331" s="15" t="str">
        <f>"PulsePort("&amp;ClockComChannel&amp;",10000)"</f>
        <v>PulsePort(1,10000)</v>
      </c>
      <c r="M331" s="15"/>
      <c r="N331" s="15"/>
      <c r="O331" s="15"/>
    </row>
    <row r="332" spans="1:15" x14ac:dyDescent="0.25">
      <c r="I332" s="15"/>
      <c r="J332" s="15"/>
      <c r="K332" s="15"/>
      <c r="L332" s="15"/>
      <c r="M332" s="15" t="s">
        <v>22</v>
      </c>
      <c r="N332" s="15"/>
      <c r="O332" s="15"/>
    </row>
    <row r="333" spans="1:15" x14ac:dyDescent="0.25">
      <c r="I333" s="15"/>
      <c r="J333" s="15"/>
      <c r="K333" s="15"/>
      <c r="L333" s="15"/>
      <c r="M333" s="15" t="str">
        <f>"'Measure SI-111 sensor body thermistor temperature.  Therm109 (Dest, Reps, SEChan, VX/ExChan, SettlingTime, Integ, Mult, Offset)"</f>
        <v>'Measure SI-111 sensor body thermistor temperature.  Therm109 (Dest, Reps, SEChan, VX/ExChan, SettlingTime, Integ, Mult, Offset)</v>
      </c>
      <c r="N333" s="15"/>
      <c r="O333" s="15"/>
    </row>
    <row r="334" spans="1:15" x14ac:dyDescent="0.25">
      <c r="A334" t="str">
        <f>"Therm109(SBT_C("</f>
        <v>Therm109(SBT_C(</v>
      </c>
      <c r="B334">
        <f>B331</f>
        <v>5</v>
      </c>
      <c r="C334" t="s">
        <v>130</v>
      </c>
      <c r="D334">
        <f>MUX1SEChannel</f>
        <v>3</v>
      </c>
      <c r="E334" t="s">
        <v>46</v>
      </c>
      <c r="F334" t="str">
        <f>"VX"&amp;MUX1VXChannel</f>
        <v>VX2</v>
      </c>
      <c r="G334" t="s">
        <v>133</v>
      </c>
      <c r="I334" s="15"/>
      <c r="J334" s="15"/>
      <c r="K334" s="15"/>
      <c r="L334" s="15"/>
      <c r="M334" s="15" t="str">
        <f>CONCATENATE(A334,B334,C334,D334,E334,F334,G334)</f>
        <v>Therm109(SBT_C(5),1,3,VX2,0,_60Hz,1,0)</v>
      </c>
      <c r="N334" s="15"/>
      <c r="O334" s="15"/>
    </row>
    <row r="335" spans="1:15" x14ac:dyDescent="0.25">
      <c r="I335" s="15"/>
      <c r="J335" s="15"/>
      <c r="K335" s="15"/>
      <c r="L335" s="15"/>
      <c r="M335" s="15" t="str">
        <f>"'Measure SI-111 output of thermopile.  VoltDiff(Dest, Reps, Range, DiffChan, RevDiff, SettlingTime, Integ, Mult, Offset)"</f>
        <v>'Measure SI-111 output of thermopile.  VoltDiff(Dest, Reps, Range, DiffChan, RevDiff, SettlingTime, Integ, Mult, Offset)</v>
      </c>
      <c r="N335" s="15"/>
      <c r="O335" s="15"/>
    </row>
    <row r="336" spans="1:15" x14ac:dyDescent="0.25">
      <c r="A336" t="str">
        <f>"VoltDiff(TTmV("</f>
        <v>VoltDiff(TTmV(</v>
      </c>
      <c r="B336">
        <f>B331</f>
        <v>5</v>
      </c>
      <c r="C336" t="s">
        <v>131</v>
      </c>
      <c r="D336">
        <f>MUX1DiffChannel</f>
        <v>1</v>
      </c>
      <c r="E336" t="s">
        <v>132</v>
      </c>
      <c r="I336" s="15"/>
      <c r="J336" s="15"/>
      <c r="K336" s="15"/>
      <c r="L336" s="15"/>
      <c r="M336" s="15" t="str">
        <f>CONCATENATE(A336,B336,C336,D336,E336)</f>
        <v>VoltDiff(TTmV(5),1,mV2_5,1,True,0,_60Hz,1,0,)</v>
      </c>
      <c r="N336" s="15"/>
      <c r="O336" s="15"/>
    </row>
    <row r="337" spans="1:15" x14ac:dyDescent="0.25">
      <c r="B337" s="7">
        <v>6</v>
      </c>
      <c r="D337" s="7">
        <v>7</v>
      </c>
      <c r="F337" s="7">
        <v>8</v>
      </c>
      <c r="I337" s="15"/>
      <c r="J337" s="15"/>
      <c r="K337" s="15"/>
      <c r="L337" s="15"/>
      <c r="M337" s="15" t="s">
        <v>15</v>
      </c>
      <c r="N337" s="15"/>
      <c r="O337" s="15"/>
    </row>
    <row r="338" spans="1:15" x14ac:dyDescent="0.25">
      <c r="A338" t="str">
        <f>CONCATENATE("m","(",B331,")=")</f>
        <v>m(5)=</v>
      </c>
      <c r="B338">
        <f>VLOOKUP($C331,SensorCoeffs,B337,FALSE)</f>
        <v>1386130000</v>
      </c>
      <c r="C338" t="str">
        <f>"+("</f>
        <v>+(</v>
      </c>
      <c r="D338">
        <f>VLOOKUP($C331,SensorCoeffs,D337,FALSE)</f>
        <v>7242140</v>
      </c>
      <c r="E338" t="str">
        <f>CONCATENATE("*SBT_C","(",B331,")",")+(")</f>
        <v>*SBT_C(5))+(</v>
      </c>
      <c r="F338">
        <f>VLOOKUP($C331,SensorCoeffs,F337,FALSE)</f>
        <v>70955</v>
      </c>
      <c r="G338" t="str">
        <f>CONCATENATE("*SBT_C","(",B331,")^2)")</f>
        <v>*SBT_C(5)^2)</v>
      </c>
      <c r="I338" s="15"/>
      <c r="J338" s="15"/>
      <c r="K338" s="15"/>
      <c r="L338" s="15"/>
      <c r="M338" s="15" t="str">
        <f>CONCATENATE(A338,B338,C338,D338,E338,F338,G338)</f>
        <v>m(5)=1386130000+(7242140*SBT_C(5))+(70955*SBT_C(5)^2)</v>
      </c>
      <c r="N338" s="15"/>
      <c r="O338" s="15"/>
    </row>
    <row r="339" spans="1:15" x14ac:dyDescent="0.25">
      <c r="A339" t="str">
        <f>CONCATENATE("b","(",B331,")=")</f>
        <v>b(5)=</v>
      </c>
      <c r="B339">
        <f>VLOOKUP($C331,SensorCoeffs,B337+3,FALSE)</f>
        <v>-2918440</v>
      </c>
      <c r="C339" t="str">
        <f>"+("</f>
        <v>+(</v>
      </c>
      <c r="D339">
        <f>VLOOKUP($C331,SensorCoeffs,D337+3,FALSE)</f>
        <v>-11589.2</v>
      </c>
      <c r="E339" t="str">
        <f>CONCATENATE("*SBT_C","(",B331,")",")+(")</f>
        <v>*SBT_C(5))+(</v>
      </c>
      <c r="F339">
        <f>VLOOKUP($C331,SensorCoeffs,F337+3,FALSE)</f>
        <v>14149.3</v>
      </c>
      <c r="G339" t="str">
        <f>CONCATENATE("*SBT_C","(",B331,")^2)")</f>
        <v>*SBT_C(5)^2)</v>
      </c>
      <c r="I339" s="15"/>
      <c r="J339" s="15"/>
      <c r="K339" s="15"/>
      <c r="L339" s="15"/>
      <c r="M339" s="15" t="str">
        <f>CONCATENATE(A339,B339,C339,D339,E339,F339,G339)</f>
        <v>b(5)=-2918440+(-11589.2*SBT_C(5))+(14149.3*SBT_C(5)^2)</v>
      </c>
      <c r="N339" s="15"/>
      <c r="O339" s="15"/>
    </row>
    <row r="340" spans="1:15" x14ac:dyDescent="0.25">
      <c r="I340" s="15"/>
      <c r="J340" s="15"/>
      <c r="K340" s="15"/>
      <c r="L340" s="15"/>
      <c r="M340" s="15" t="s">
        <v>16</v>
      </c>
      <c r="N340" s="15"/>
      <c r="O340" s="15"/>
    </row>
    <row r="341" spans="1:15" x14ac:dyDescent="0.25">
      <c r="A341" t="str">
        <f>"SBT_K("</f>
        <v>SBT_K(</v>
      </c>
      <c r="B341">
        <f>B331</f>
        <v>5</v>
      </c>
      <c r="C341" t="str">
        <f>")=SBT_C("</f>
        <v>)=SBT_C(</v>
      </c>
      <c r="D341">
        <f>B331</f>
        <v>5</v>
      </c>
      <c r="E341" t="s">
        <v>49</v>
      </c>
      <c r="I341" s="15"/>
      <c r="J341" s="15"/>
      <c r="K341" s="15"/>
      <c r="L341" s="15"/>
      <c r="M341" s="15" t="str">
        <f>CONCATENATE(A341,B341,C341,D341,E341)</f>
        <v>SBT_K(5)=SBT_C(5)+273.15</v>
      </c>
      <c r="N341" s="15"/>
      <c r="O341" s="15"/>
    </row>
    <row r="342" spans="1:15" x14ac:dyDescent="0.25">
      <c r="A342" t="str">
        <f>"TT_K("</f>
        <v>TT_K(</v>
      </c>
      <c r="B342">
        <f>B331</f>
        <v>5</v>
      </c>
      <c r="C342" t="str">
        <f>")=SBT_K("</f>
        <v>)=SBT_K(</v>
      </c>
      <c r="D342">
        <f>B331</f>
        <v>5</v>
      </c>
      <c r="E342" t="str">
        <f>CONCATENATE(")^4+TTmV","(",B331,")")</f>
        <v>)^4+TTmV(5)</v>
      </c>
      <c r="F342" t="str">
        <f>CONCATENATE("*m","(",B331,")")</f>
        <v>*m(5)</v>
      </c>
      <c r="G342" t="str">
        <f>CONCATENATE("+b","(",B331,")")</f>
        <v>+b(5)</v>
      </c>
      <c r="I342" s="15"/>
      <c r="J342" s="15"/>
      <c r="K342" s="15"/>
      <c r="L342" s="15"/>
      <c r="M342" s="15" t="str">
        <f>CONCATENATE(A342,B342,C342,D342,E342,F342,G342)</f>
        <v>TT_K(5)=SBT_K(5)^4+TTmV(5)*m(5)+b(5)</v>
      </c>
      <c r="N342" s="15"/>
      <c r="O342" s="15"/>
    </row>
    <row r="343" spans="1:15" x14ac:dyDescent="0.25">
      <c r="A343" t="str">
        <f>CONCATENATE("TT_K(")</f>
        <v>TT_K(</v>
      </c>
      <c r="B343">
        <f>B331</f>
        <v>5</v>
      </c>
      <c r="C343" t="str">
        <f>")=SQR(SQR(TT_K("</f>
        <v>)=SQR(SQR(TT_K(</v>
      </c>
      <c r="D343">
        <f>B331</f>
        <v>5</v>
      </c>
      <c r="E343" t="s">
        <v>80</v>
      </c>
      <c r="I343" s="15"/>
      <c r="J343" s="15"/>
      <c r="K343" s="15"/>
      <c r="L343" s="15"/>
      <c r="M343" s="15" t="str">
        <f>CONCATENATE(A343,B343,C343,D343,E343)</f>
        <v>TT_K(5)=SQR(SQR(TT_K(5)))</v>
      </c>
      <c r="N343" s="15"/>
      <c r="O343" s="15"/>
    </row>
    <row r="344" spans="1:15" x14ac:dyDescent="0.25">
      <c r="I344" s="15"/>
      <c r="J344" s="15"/>
      <c r="K344" s="15"/>
      <c r="L344" s="15"/>
      <c r="M344" s="15" t="s">
        <v>17</v>
      </c>
      <c r="N344" s="15"/>
      <c r="O344" s="15"/>
    </row>
    <row r="345" spans="1:15" x14ac:dyDescent="0.25">
      <c r="A345" t="str">
        <f>"TT_C("</f>
        <v>TT_C(</v>
      </c>
      <c r="B345">
        <f>B331</f>
        <v>5</v>
      </c>
      <c r="C345" t="str">
        <f>")=TT_K("</f>
        <v>)=TT_K(</v>
      </c>
      <c r="D345">
        <f>B331</f>
        <v>5</v>
      </c>
      <c r="E345" t="s">
        <v>52</v>
      </c>
      <c r="I345" s="15"/>
      <c r="J345" s="15"/>
      <c r="K345" s="15"/>
      <c r="L345" s="15"/>
      <c r="M345" s="15" t="str">
        <f>CONCATENATE(A345,B345,C345,D345,E345)</f>
        <v>TT_C(5)=TT_K(5)-273.15</v>
      </c>
      <c r="N345" s="15"/>
      <c r="O345" s="15"/>
    </row>
    <row r="346" spans="1:15" ht="15.75" thickBot="1" x14ac:dyDescent="0.3">
      <c r="A346" s="1" t="s">
        <v>200</v>
      </c>
      <c r="B346" s="1" t="s">
        <v>34</v>
      </c>
      <c r="C346" s="1" t="s">
        <v>35</v>
      </c>
      <c r="D346" s="1"/>
      <c r="E346" s="1"/>
      <c r="F346" s="1"/>
      <c r="G346" s="1"/>
      <c r="I346" s="15"/>
      <c r="J346" s="15"/>
      <c r="K346" s="15"/>
      <c r="L346" s="17" t="str">
        <f>"'Switch on next AM416 Multiplexer channel.  PulsePort(DataLogger channel C#, Delay)"</f>
        <v>'Switch on next AM416 Multiplexer channel.  PulsePort(DataLogger channel C#, Delay)</v>
      </c>
      <c r="M346" s="15"/>
      <c r="N346" s="15"/>
      <c r="O346" s="15"/>
    </row>
    <row r="347" spans="1:15" ht="16.5" thickBot="1" x14ac:dyDescent="0.3">
      <c r="A347" s="5">
        <f>A331</f>
        <v>1</v>
      </c>
      <c r="B347" s="5">
        <f>B331+1</f>
        <v>6</v>
      </c>
      <c r="C347" s="6">
        <f>C331+1</f>
        <v>6</v>
      </c>
      <c r="D347" s="84" t="s">
        <v>243</v>
      </c>
      <c r="E347" s="85"/>
      <c r="F347" s="85"/>
      <c r="G347" s="86"/>
      <c r="I347" s="15"/>
      <c r="J347" s="15"/>
      <c r="K347" s="15"/>
      <c r="L347" s="15" t="str">
        <f>"PulsePort("&amp;ClockComChannel&amp;",10000)"</f>
        <v>PulsePort(1,10000)</v>
      </c>
      <c r="M347" s="15"/>
      <c r="N347" s="15"/>
      <c r="O347" s="15"/>
    </row>
    <row r="348" spans="1:15" x14ac:dyDescent="0.25">
      <c r="I348" s="15"/>
      <c r="J348" s="15"/>
      <c r="K348" s="15"/>
      <c r="L348" s="15"/>
      <c r="M348" s="15" t="s">
        <v>22</v>
      </c>
      <c r="N348" s="15"/>
      <c r="O348" s="15"/>
    </row>
    <row r="349" spans="1:15" x14ac:dyDescent="0.25">
      <c r="I349" s="15"/>
      <c r="J349" s="15"/>
      <c r="K349" s="15"/>
      <c r="L349" s="15"/>
      <c r="M349" s="15" t="str">
        <f>"'Measure SI-111 sensor body thermistor temperature.  Therm109 (Dest, Reps, SEChan, VX/ExChan, SettlingTime, Integ, Mult, Offset)"</f>
        <v>'Measure SI-111 sensor body thermistor temperature.  Therm109 (Dest, Reps, SEChan, VX/ExChan, SettlingTime, Integ, Mult, Offset)</v>
      </c>
      <c r="N349" s="15"/>
      <c r="O349" s="15"/>
    </row>
    <row r="350" spans="1:15" x14ac:dyDescent="0.25">
      <c r="A350" t="str">
        <f>"Therm109(SBT_C("</f>
        <v>Therm109(SBT_C(</v>
      </c>
      <c r="B350">
        <f>B347</f>
        <v>6</v>
      </c>
      <c r="C350" t="s">
        <v>130</v>
      </c>
      <c r="D350">
        <f>MUX1SEChannel</f>
        <v>3</v>
      </c>
      <c r="E350" t="s">
        <v>46</v>
      </c>
      <c r="F350" t="str">
        <f>"VX"&amp;MUX1VXChannel</f>
        <v>VX2</v>
      </c>
      <c r="G350" t="s">
        <v>133</v>
      </c>
      <c r="I350" s="15"/>
      <c r="J350" s="15"/>
      <c r="K350" s="15"/>
      <c r="L350" s="15"/>
      <c r="M350" s="15" t="str">
        <f>CONCATENATE(A350,B350,C350,D350,E350,F350,G350)</f>
        <v>Therm109(SBT_C(6),1,3,VX2,0,_60Hz,1,0)</v>
      </c>
      <c r="N350" s="15"/>
      <c r="O350" s="15"/>
    </row>
    <row r="351" spans="1:15" x14ac:dyDescent="0.25">
      <c r="I351" s="15"/>
      <c r="J351" s="15"/>
      <c r="K351" s="15"/>
      <c r="L351" s="15"/>
      <c r="M351" s="15" t="str">
        <f>"'Measure SI-111 output of thermopile.  VoltDiff(Dest, Reps, Range, DiffChan, RevDiff, SettlingTime, Integ, Mult, Offset)"</f>
        <v>'Measure SI-111 output of thermopile.  VoltDiff(Dest, Reps, Range, DiffChan, RevDiff, SettlingTime, Integ, Mult, Offset)</v>
      </c>
      <c r="N351" s="15"/>
      <c r="O351" s="15"/>
    </row>
    <row r="352" spans="1:15" x14ac:dyDescent="0.25">
      <c r="A352" t="str">
        <f>"VoltDiff(TTmV("</f>
        <v>VoltDiff(TTmV(</v>
      </c>
      <c r="B352">
        <f>B347</f>
        <v>6</v>
      </c>
      <c r="C352" t="s">
        <v>131</v>
      </c>
      <c r="D352">
        <f>MUX1DiffChannel</f>
        <v>1</v>
      </c>
      <c r="E352" t="s">
        <v>132</v>
      </c>
      <c r="I352" s="15"/>
      <c r="J352" s="15"/>
      <c r="K352" s="15"/>
      <c r="L352" s="15"/>
      <c r="M352" s="15" t="str">
        <f>CONCATENATE(A352,B352,C352,D352,E352)</f>
        <v>VoltDiff(TTmV(6),1,mV2_5,1,True,0,_60Hz,1,0,)</v>
      </c>
      <c r="N352" s="15"/>
      <c r="O352" s="15"/>
    </row>
    <row r="353" spans="1:15" x14ac:dyDescent="0.25">
      <c r="B353" s="7">
        <v>6</v>
      </c>
      <c r="D353" s="7">
        <v>7</v>
      </c>
      <c r="F353" s="7">
        <v>8</v>
      </c>
      <c r="I353" s="15"/>
      <c r="J353" s="15"/>
      <c r="K353" s="15"/>
      <c r="L353" s="15"/>
      <c r="M353" s="15" t="s">
        <v>15</v>
      </c>
      <c r="N353" s="15"/>
      <c r="O353" s="15"/>
    </row>
    <row r="354" spans="1:15" x14ac:dyDescent="0.25">
      <c r="A354" t="str">
        <f>CONCATENATE("m","(",B347,")=")</f>
        <v>m(6)=</v>
      </c>
      <c r="B354">
        <f>VLOOKUP($C347,SensorCoeffs,B353,FALSE)</f>
        <v>1368500000</v>
      </c>
      <c r="C354" t="str">
        <f>"+("</f>
        <v>+(</v>
      </c>
      <c r="D354">
        <f>VLOOKUP($C347,SensorCoeffs,D353,FALSE)</f>
        <v>7282460</v>
      </c>
      <c r="E354" t="str">
        <f>CONCATENATE("*SBT_C","(",B347,")",")+(")</f>
        <v>*SBT_C(6))+(</v>
      </c>
      <c r="F354">
        <f>VLOOKUP($C347,SensorCoeffs,F353,FALSE)</f>
        <v>75238.7</v>
      </c>
      <c r="G354" t="str">
        <f>CONCATENATE("*SBT_C","(",B347,")^2)")</f>
        <v>*SBT_C(6)^2)</v>
      </c>
      <c r="I354" s="15"/>
      <c r="J354" s="15"/>
      <c r="K354" s="15"/>
      <c r="L354" s="15"/>
      <c r="M354" s="15" t="str">
        <f>CONCATENATE(A354,B354,C354,D354,E354,F354,G354)</f>
        <v>m(6)=1368500000+(7282460*SBT_C(6))+(75238.7*SBT_C(6)^2)</v>
      </c>
      <c r="N354" s="15"/>
      <c r="O354" s="15"/>
    </row>
    <row r="355" spans="1:15" x14ac:dyDescent="0.25">
      <c r="A355" t="str">
        <f>CONCATENATE("b","(",B347,")=")</f>
        <v>b(6)=</v>
      </c>
      <c r="B355">
        <f>VLOOKUP($C347,SensorCoeffs,B353+3,FALSE)</f>
        <v>-5148230</v>
      </c>
      <c r="C355" t="str">
        <f>"+("</f>
        <v>+(</v>
      </c>
      <c r="D355">
        <f>VLOOKUP($C347,SensorCoeffs,D353+3,FALSE)</f>
        <v>94378.8</v>
      </c>
      <c r="E355" t="str">
        <f>CONCATENATE("*SBT_C","(",B347,")",")+(")</f>
        <v>*SBT_C(6))+(</v>
      </c>
      <c r="F355">
        <f>VLOOKUP($C347,SensorCoeffs,F353+3,FALSE)</f>
        <v>14931.7</v>
      </c>
      <c r="G355" t="str">
        <f>CONCATENATE("*SBT_C","(",B347,")^2)")</f>
        <v>*SBT_C(6)^2)</v>
      </c>
      <c r="I355" s="15"/>
      <c r="J355" s="15"/>
      <c r="K355" s="15"/>
      <c r="L355" s="15"/>
      <c r="M355" s="15" t="str">
        <f>CONCATENATE(A355,B355,C355,D355,E355,F355,G355)</f>
        <v>b(6)=-5148230+(94378.8*SBT_C(6))+(14931.7*SBT_C(6)^2)</v>
      </c>
      <c r="N355" s="15"/>
      <c r="O355" s="15"/>
    </row>
    <row r="356" spans="1:15" x14ac:dyDescent="0.25">
      <c r="I356" s="15"/>
      <c r="J356" s="15"/>
      <c r="K356" s="15"/>
      <c r="L356" s="15"/>
      <c r="M356" s="15" t="s">
        <v>16</v>
      </c>
      <c r="N356" s="15"/>
      <c r="O356" s="15"/>
    </row>
    <row r="357" spans="1:15" x14ac:dyDescent="0.25">
      <c r="A357" t="str">
        <f>"SBT_K("</f>
        <v>SBT_K(</v>
      </c>
      <c r="B357">
        <f>B347</f>
        <v>6</v>
      </c>
      <c r="C357" t="str">
        <f>")=SBT_C("</f>
        <v>)=SBT_C(</v>
      </c>
      <c r="D357">
        <f>B347</f>
        <v>6</v>
      </c>
      <c r="E357" t="s">
        <v>49</v>
      </c>
      <c r="I357" s="15"/>
      <c r="J357" s="15"/>
      <c r="K357" s="15"/>
      <c r="L357" s="15"/>
      <c r="M357" s="15" t="str">
        <f>CONCATENATE(A357,B357,C357,D357,E357)</f>
        <v>SBT_K(6)=SBT_C(6)+273.15</v>
      </c>
      <c r="N357" s="15"/>
      <c r="O357" s="15"/>
    </row>
    <row r="358" spans="1:15" x14ac:dyDescent="0.25">
      <c r="A358" t="str">
        <f>"TT_K("</f>
        <v>TT_K(</v>
      </c>
      <c r="B358">
        <f>B347</f>
        <v>6</v>
      </c>
      <c r="C358" t="str">
        <f>")=SBT_K("</f>
        <v>)=SBT_K(</v>
      </c>
      <c r="D358">
        <f>B347</f>
        <v>6</v>
      </c>
      <c r="E358" t="str">
        <f>CONCATENATE(")^4+TTmV","(",B347,")")</f>
        <v>)^4+TTmV(6)</v>
      </c>
      <c r="F358" t="str">
        <f>CONCATENATE("*m","(",B347,")")</f>
        <v>*m(6)</v>
      </c>
      <c r="G358" t="str">
        <f>CONCATENATE("+b","(",B347,")")</f>
        <v>+b(6)</v>
      </c>
      <c r="I358" s="15"/>
      <c r="J358" s="15"/>
      <c r="K358" s="15"/>
      <c r="L358" s="15"/>
      <c r="M358" s="15" t="str">
        <f>CONCATENATE(A358,B358,C358,D358,E358,F358,G358)</f>
        <v>TT_K(6)=SBT_K(6)^4+TTmV(6)*m(6)+b(6)</v>
      </c>
      <c r="N358" s="15"/>
      <c r="O358" s="15"/>
    </row>
    <row r="359" spans="1:15" x14ac:dyDescent="0.25">
      <c r="A359" t="str">
        <f>CONCATENATE("TT_K(")</f>
        <v>TT_K(</v>
      </c>
      <c r="B359">
        <f>B347</f>
        <v>6</v>
      </c>
      <c r="C359" t="str">
        <f>")=SQR(SQR(TT_K("</f>
        <v>)=SQR(SQR(TT_K(</v>
      </c>
      <c r="D359">
        <f>B347</f>
        <v>6</v>
      </c>
      <c r="E359" t="s">
        <v>80</v>
      </c>
      <c r="I359" s="15"/>
      <c r="J359" s="15"/>
      <c r="K359" s="15"/>
      <c r="L359" s="15"/>
      <c r="M359" s="15" t="str">
        <f>CONCATENATE(A359,B359,C359,D359,E359)</f>
        <v>TT_K(6)=SQR(SQR(TT_K(6)))</v>
      </c>
      <c r="N359" s="15"/>
      <c r="O359" s="15"/>
    </row>
    <row r="360" spans="1:15" x14ac:dyDescent="0.25">
      <c r="I360" s="15"/>
      <c r="J360" s="15"/>
      <c r="K360" s="15"/>
      <c r="L360" s="15"/>
      <c r="M360" s="15" t="s">
        <v>17</v>
      </c>
      <c r="N360" s="15"/>
      <c r="O360" s="15"/>
    </row>
    <row r="361" spans="1:15" x14ac:dyDescent="0.25">
      <c r="A361" t="str">
        <f>"TT_C("</f>
        <v>TT_C(</v>
      </c>
      <c r="B361">
        <f>B347</f>
        <v>6</v>
      </c>
      <c r="C361" t="str">
        <f>")=TT_K("</f>
        <v>)=TT_K(</v>
      </c>
      <c r="D361">
        <f>B347</f>
        <v>6</v>
      </c>
      <c r="E361" t="s">
        <v>52</v>
      </c>
      <c r="I361" s="15"/>
      <c r="J361" s="15"/>
      <c r="K361" s="15"/>
      <c r="L361" s="15"/>
      <c r="M361" s="15" t="str">
        <f>CONCATENATE(A361,B361,C361,D361,E361)</f>
        <v>TT_C(6)=TT_K(6)-273.15</v>
      </c>
      <c r="N361" s="15"/>
      <c r="O361" s="15"/>
    </row>
    <row r="362" spans="1:15" ht="15.75" thickBot="1" x14ac:dyDescent="0.3">
      <c r="A362" s="1" t="s">
        <v>200</v>
      </c>
      <c r="B362" s="1" t="s">
        <v>34</v>
      </c>
      <c r="C362" s="1" t="s">
        <v>35</v>
      </c>
      <c r="D362" s="1"/>
      <c r="E362" s="1"/>
      <c r="F362" s="1"/>
      <c r="G362" s="1"/>
      <c r="I362" s="15"/>
      <c r="J362" s="15"/>
      <c r="K362" s="15"/>
      <c r="L362" s="17" t="str">
        <f>"'Switch on next AM416 Multiplexer channel.  PulsePort(DataLogger channel C#, Delay)"</f>
        <v>'Switch on next AM416 Multiplexer channel.  PulsePort(DataLogger channel C#, Delay)</v>
      </c>
      <c r="M362" s="15"/>
      <c r="N362" s="15"/>
      <c r="O362" s="15"/>
    </row>
    <row r="363" spans="1:15" ht="16.5" thickBot="1" x14ac:dyDescent="0.3">
      <c r="A363" s="5">
        <f>A347</f>
        <v>1</v>
      </c>
      <c r="B363" s="5">
        <f>B347+1</f>
        <v>7</v>
      </c>
      <c r="C363" s="6">
        <f>C347+1</f>
        <v>7</v>
      </c>
      <c r="D363" s="84" t="s">
        <v>243</v>
      </c>
      <c r="E363" s="85"/>
      <c r="F363" s="85"/>
      <c r="G363" s="86"/>
      <c r="I363" s="15"/>
      <c r="J363" s="15"/>
      <c r="K363" s="15"/>
      <c r="L363" s="15" t="str">
        <f>"PulsePort("&amp;ClockComChannel&amp;",10000)"</f>
        <v>PulsePort(1,10000)</v>
      </c>
      <c r="M363" s="15"/>
      <c r="N363" s="15"/>
      <c r="O363" s="15"/>
    </row>
    <row r="364" spans="1:15" x14ac:dyDescent="0.25">
      <c r="I364" s="15"/>
      <c r="J364" s="15"/>
      <c r="K364" s="15"/>
      <c r="L364" s="15"/>
      <c r="M364" s="15" t="s">
        <v>22</v>
      </c>
      <c r="N364" s="15"/>
      <c r="O364" s="15"/>
    </row>
    <row r="365" spans="1:15" x14ac:dyDescent="0.25">
      <c r="I365" s="15"/>
      <c r="J365" s="15"/>
      <c r="K365" s="15"/>
      <c r="L365" s="15"/>
      <c r="M365" s="15" t="str">
        <f>"'Measure SI-111 sensor body thermistor temperature.  Therm109 (Dest, Reps, SEChan, VX/ExChan, SettlingTime, Integ, Mult, Offset)"</f>
        <v>'Measure SI-111 sensor body thermistor temperature.  Therm109 (Dest, Reps, SEChan, VX/ExChan, SettlingTime, Integ, Mult, Offset)</v>
      </c>
      <c r="N365" s="15"/>
      <c r="O365" s="15"/>
    </row>
    <row r="366" spans="1:15" x14ac:dyDescent="0.25">
      <c r="A366" t="str">
        <f>"Therm109(SBT_C("</f>
        <v>Therm109(SBT_C(</v>
      </c>
      <c r="B366">
        <f>B363</f>
        <v>7</v>
      </c>
      <c r="C366" t="s">
        <v>130</v>
      </c>
      <c r="D366">
        <f>MUX1SEChannel</f>
        <v>3</v>
      </c>
      <c r="E366" t="s">
        <v>46</v>
      </c>
      <c r="F366" t="str">
        <f>"VX"&amp;MUX1VXChannel</f>
        <v>VX2</v>
      </c>
      <c r="G366" t="s">
        <v>133</v>
      </c>
      <c r="I366" s="15"/>
      <c r="J366" s="15"/>
      <c r="K366" s="15"/>
      <c r="L366" s="15"/>
      <c r="M366" s="15" t="str">
        <f>CONCATENATE(A366,B366,C366,D366,E366,F366,G366)</f>
        <v>Therm109(SBT_C(7),1,3,VX2,0,_60Hz,1,0)</v>
      </c>
      <c r="N366" s="15"/>
      <c r="O366" s="15"/>
    </row>
    <row r="367" spans="1:15" x14ac:dyDescent="0.25">
      <c r="I367" s="15"/>
      <c r="J367" s="15"/>
      <c r="K367" s="15"/>
      <c r="L367" s="15"/>
      <c r="M367" s="15" t="str">
        <f>"'Measure SI-111 output of thermopile.  VoltDiff(Dest, Reps, Range, DiffChan, RevDiff, SettlingTime, Integ, Mult, Offset)"</f>
        <v>'Measure SI-111 output of thermopile.  VoltDiff(Dest, Reps, Range, DiffChan, RevDiff, SettlingTime, Integ, Mult, Offset)</v>
      </c>
      <c r="N367" s="15"/>
      <c r="O367" s="15"/>
    </row>
    <row r="368" spans="1:15" x14ac:dyDescent="0.25">
      <c r="A368" t="str">
        <f>"VoltDiff(TTmV("</f>
        <v>VoltDiff(TTmV(</v>
      </c>
      <c r="B368">
        <f>B363</f>
        <v>7</v>
      </c>
      <c r="C368" t="s">
        <v>131</v>
      </c>
      <c r="D368">
        <f>MUX1DiffChannel</f>
        <v>1</v>
      </c>
      <c r="E368" t="s">
        <v>132</v>
      </c>
      <c r="I368" s="15"/>
      <c r="J368" s="15"/>
      <c r="K368" s="15"/>
      <c r="L368" s="15"/>
      <c r="M368" s="15" t="str">
        <f>CONCATENATE(A368,B368,C368,D368,E368)</f>
        <v>VoltDiff(TTmV(7),1,mV2_5,1,True,0,_60Hz,1,0,)</v>
      </c>
      <c r="N368" s="15"/>
      <c r="O368" s="15"/>
    </row>
    <row r="369" spans="1:15" x14ac:dyDescent="0.25">
      <c r="B369" s="7">
        <v>6</v>
      </c>
      <c r="D369" s="7">
        <v>7</v>
      </c>
      <c r="F369" s="7">
        <v>8</v>
      </c>
      <c r="I369" s="15"/>
      <c r="J369" s="15"/>
      <c r="K369" s="15"/>
      <c r="L369" s="15"/>
      <c r="M369" s="15" t="s">
        <v>15</v>
      </c>
      <c r="N369" s="15"/>
      <c r="O369" s="15"/>
    </row>
    <row r="370" spans="1:15" x14ac:dyDescent="0.25">
      <c r="A370" t="str">
        <f>CONCATENATE("m","(",B363,")=")</f>
        <v>m(7)=</v>
      </c>
      <c r="B370">
        <f>VLOOKUP($C363,SensorCoeffs,B369,FALSE)</f>
        <v>1371730000</v>
      </c>
      <c r="C370" t="str">
        <f>"+("</f>
        <v>+(</v>
      </c>
      <c r="D370">
        <f>VLOOKUP($C363,SensorCoeffs,D369,FALSE)</f>
        <v>7058920</v>
      </c>
      <c r="E370" t="str">
        <f>CONCATENATE("*SBT_C","(",B363,")",")+(")</f>
        <v>*SBT_C(7))+(</v>
      </c>
      <c r="F370">
        <f>VLOOKUP($C363,SensorCoeffs,F369,FALSE)</f>
        <v>76906</v>
      </c>
      <c r="G370" t="str">
        <f>CONCATENATE("*SBT_C","(",B363,")^2)")</f>
        <v>*SBT_C(7)^2)</v>
      </c>
      <c r="I370" s="15"/>
      <c r="J370" s="15"/>
      <c r="K370" s="15"/>
      <c r="L370" s="15"/>
      <c r="M370" s="15" t="str">
        <f>CONCATENATE(A370,B370,C370,D370,E370,F370,G370)</f>
        <v>m(7)=1371730000+(7058920*SBT_C(7))+(76906*SBT_C(7)^2)</v>
      </c>
      <c r="N370" s="15"/>
      <c r="O370" s="15"/>
    </row>
    <row r="371" spans="1:15" x14ac:dyDescent="0.25">
      <c r="A371" t="str">
        <f>CONCATENATE("b","(",B363,")=")</f>
        <v>b(7)=</v>
      </c>
      <c r="B371">
        <f>VLOOKUP($C363,SensorCoeffs,B369+3,FALSE)</f>
        <v>-6107980</v>
      </c>
      <c r="C371" t="str">
        <f>"+("</f>
        <v>+(</v>
      </c>
      <c r="D371">
        <f>VLOOKUP($C363,SensorCoeffs,D369+3,FALSE)</f>
        <v>-35518.400000000001</v>
      </c>
      <c r="E371" t="str">
        <f>CONCATENATE("*SBT_C","(",B363,")",")+(")</f>
        <v>*SBT_C(7))+(</v>
      </c>
      <c r="F371">
        <f>VLOOKUP($C363,SensorCoeffs,F369+3,FALSE)</f>
        <v>14153.7</v>
      </c>
      <c r="G371" t="str">
        <f>CONCATENATE("*SBT_C","(",B363,")^2)")</f>
        <v>*SBT_C(7)^2)</v>
      </c>
      <c r="I371" s="15"/>
      <c r="J371" s="15"/>
      <c r="K371" s="15"/>
      <c r="L371" s="15"/>
      <c r="M371" s="15" t="str">
        <f>CONCATENATE(A371,B371,C371,D371,E371,F371,G371)</f>
        <v>b(7)=-6107980+(-35518.4*SBT_C(7))+(14153.7*SBT_C(7)^2)</v>
      </c>
      <c r="N371" s="15"/>
      <c r="O371" s="15"/>
    </row>
    <row r="372" spans="1:15" x14ac:dyDescent="0.25">
      <c r="I372" s="15"/>
      <c r="J372" s="15"/>
      <c r="K372" s="15"/>
      <c r="L372" s="15"/>
      <c r="M372" s="15" t="s">
        <v>16</v>
      </c>
      <c r="N372" s="15"/>
      <c r="O372" s="15"/>
    </row>
    <row r="373" spans="1:15" x14ac:dyDescent="0.25">
      <c r="A373" t="str">
        <f>"SBT_K("</f>
        <v>SBT_K(</v>
      </c>
      <c r="B373">
        <f>B363</f>
        <v>7</v>
      </c>
      <c r="C373" t="str">
        <f>")=SBT_C("</f>
        <v>)=SBT_C(</v>
      </c>
      <c r="D373">
        <f>B363</f>
        <v>7</v>
      </c>
      <c r="E373" t="s">
        <v>49</v>
      </c>
      <c r="I373" s="15"/>
      <c r="J373" s="15"/>
      <c r="K373" s="15"/>
      <c r="L373" s="15"/>
      <c r="M373" s="15" t="str">
        <f>CONCATENATE(A373,B373,C373,D373,E373)</f>
        <v>SBT_K(7)=SBT_C(7)+273.15</v>
      </c>
      <c r="N373" s="15"/>
      <c r="O373" s="15"/>
    </row>
    <row r="374" spans="1:15" x14ac:dyDescent="0.25">
      <c r="A374" t="str">
        <f>"TT_K("</f>
        <v>TT_K(</v>
      </c>
      <c r="B374">
        <f>B363</f>
        <v>7</v>
      </c>
      <c r="C374" t="str">
        <f>")=SBT_K("</f>
        <v>)=SBT_K(</v>
      </c>
      <c r="D374">
        <f>B363</f>
        <v>7</v>
      </c>
      <c r="E374" t="str">
        <f>CONCATENATE(")^4+TTmV","(",B363,")")</f>
        <v>)^4+TTmV(7)</v>
      </c>
      <c r="F374" t="str">
        <f>CONCATENATE("*m","(",B363,")")</f>
        <v>*m(7)</v>
      </c>
      <c r="G374" t="str">
        <f>CONCATENATE("+b","(",B363,")")</f>
        <v>+b(7)</v>
      </c>
      <c r="I374" s="15"/>
      <c r="J374" s="15"/>
      <c r="K374" s="15"/>
      <c r="L374" s="15"/>
      <c r="M374" s="15" t="str">
        <f>CONCATENATE(A374,B374,C374,D374,E374,F374,G374)</f>
        <v>TT_K(7)=SBT_K(7)^4+TTmV(7)*m(7)+b(7)</v>
      </c>
      <c r="N374" s="15"/>
      <c r="O374" s="15"/>
    </row>
    <row r="375" spans="1:15" x14ac:dyDescent="0.25">
      <c r="A375" t="str">
        <f>CONCATENATE("TT_K(")</f>
        <v>TT_K(</v>
      </c>
      <c r="B375">
        <f>B363</f>
        <v>7</v>
      </c>
      <c r="C375" t="str">
        <f>")=SQR(SQR(TT_K("</f>
        <v>)=SQR(SQR(TT_K(</v>
      </c>
      <c r="D375">
        <f>B363</f>
        <v>7</v>
      </c>
      <c r="E375" t="s">
        <v>80</v>
      </c>
      <c r="I375" s="15"/>
      <c r="J375" s="15"/>
      <c r="K375" s="15"/>
      <c r="L375" s="15"/>
      <c r="M375" s="15" t="str">
        <f>CONCATENATE(A375,B375,C375,D375,E375)</f>
        <v>TT_K(7)=SQR(SQR(TT_K(7)))</v>
      </c>
      <c r="N375" s="15"/>
      <c r="O375" s="15"/>
    </row>
    <row r="376" spans="1:15" x14ac:dyDescent="0.25">
      <c r="I376" s="15"/>
      <c r="J376" s="15"/>
      <c r="K376" s="15"/>
      <c r="L376" s="15"/>
      <c r="M376" s="15" t="s">
        <v>17</v>
      </c>
      <c r="N376" s="15"/>
      <c r="O376" s="15"/>
    </row>
    <row r="377" spans="1:15" x14ac:dyDescent="0.25">
      <c r="A377" t="str">
        <f>"TT_C("</f>
        <v>TT_C(</v>
      </c>
      <c r="B377">
        <f>B363</f>
        <v>7</v>
      </c>
      <c r="C377" t="str">
        <f>")=TT_K("</f>
        <v>)=TT_K(</v>
      </c>
      <c r="D377">
        <f>B363</f>
        <v>7</v>
      </c>
      <c r="E377" t="s">
        <v>52</v>
      </c>
      <c r="I377" s="15"/>
      <c r="J377" s="15"/>
      <c r="K377" s="15"/>
      <c r="L377" s="15"/>
      <c r="M377" s="15" t="str">
        <f>CONCATENATE(A377,B377,C377,D377,E377)</f>
        <v>TT_C(7)=TT_K(7)-273.15</v>
      </c>
      <c r="N377" s="15"/>
      <c r="O377" s="15"/>
    </row>
    <row r="378" spans="1:15" ht="15.75" thickBot="1" x14ac:dyDescent="0.3">
      <c r="A378" s="1" t="s">
        <v>200</v>
      </c>
      <c r="B378" s="1" t="s">
        <v>34</v>
      </c>
      <c r="C378" s="1" t="s">
        <v>35</v>
      </c>
      <c r="D378" s="1"/>
      <c r="E378" s="1"/>
      <c r="F378" s="1"/>
      <c r="G378" s="1"/>
      <c r="I378" s="15"/>
      <c r="J378" s="15"/>
      <c r="K378" s="15"/>
      <c r="L378" s="17" t="str">
        <f>"'Switch on next AM416 Multiplexer channel.  PulsePort(DataLogger channel C#, Delay)"</f>
        <v>'Switch on next AM416 Multiplexer channel.  PulsePort(DataLogger channel C#, Delay)</v>
      </c>
      <c r="M378" s="15"/>
      <c r="N378" s="15"/>
      <c r="O378" s="15"/>
    </row>
    <row r="379" spans="1:15" ht="16.5" thickBot="1" x14ac:dyDescent="0.3">
      <c r="A379" s="5">
        <f>A363</f>
        <v>1</v>
      </c>
      <c r="B379" s="5">
        <f>B363+1</f>
        <v>8</v>
      </c>
      <c r="C379" s="6">
        <f>C363+1</f>
        <v>8</v>
      </c>
      <c r="D379" s="84" t="s">
        <v>243</v>
      </c>
      <c r="E379" s="85"/>
      <c r="F379" s="85"/>
      <c r="G379" s="86"/>
      <c r="I379" s="15"/>
      <c r="J379" s="15"/>
      <c r="K379" s="15"/>
      <c r="L379" s="15" t="str">
        <f>"PulsePort("&amp;ClockComChannel&amp;",10000)"</f>
        <v>PulsePort(1,10000)</v>
      </c>
      <c r="M379" s="15"/>
      <c r="N379" s="15"/>
      <c r="O379" s="15"/>
    </row>
    <row r="380" spans="1:15" x14ac:dyDescent="0.25">
      <c r="I380" s="15"/>
      <c r="J380" s="15"/>
      <c r="K380" s="15"/>
      <c r="L380" s="15"/>
      <c r="M380" s="15" t="s">
        <v>22</v>
      </c>
      <c r="N380" s="15"/>
      <c r="O380" s="15"/>
    </row>
    <row r="381" spans="1:15" x14ac:dyDescent="0.25">
      <c r="I381" s="15"/>
      <c r="J381" s="15"/>
      <c r="K381" s="15"/>
      <c r="L381" s="15"/>
      <c r="M381" s="15" t="str">
        <f>"'Measure SI-111 sensor body thermistor temperature.  Therm109 (Dest, Reps, SEChan, VX/ExChan, SettlingTime, Integ, Mult, Offset)"</f>
        <v>'Measure SI-111 sensor body thermistor temperature.  Therm109 (Dest, Reps, SEChan, VX/ExChan, SettlingTime, Integ, Mult, Offset)</v>
      </c>
      <c r="N381" s="15"/>
      <c r="O381" s="15"/>
    </row>
    <row r="382" spans="1:15" x14ac:dyDescent="0.25">
      <c r="A382" t="str">
        <f>"Therm109(SBT_C("</f>
        <v>Therm109(SBT_C(</v>
      </c>
      <c r="B382">
        <f>B379</f>
        <v>8</v>
      </c>
      <c r="C382" t="s">
        <v>130</v>
      </c>
      <c r="D382">
        <f>MUX1SEChannel</f>
        <v>3</v>
      </c>
      <c r="E382" t="s">
        <v>46</v>
      </c>
      <c r="F382" t="str">
        <f>"VX"&amp;MUX1VXChannel</f>
        <v>VX2</v>
      </c>
      <c r="G382" t="s">
        <v>133</v>
      </c>
      <c r="I382" s="15"/>
      <c r="J382" s="15"/>
      <c r="K382" s="15"/>
      <c r="L382" s="15"/>
      <c r="M382" s="15" t="str">
        <f>CONCATENATE(A382,B382,C382,D382,E382,F382,G382)</f>
        <v>Therm109(SBT_C(8),1,3,VX2,0,_60Hz,1,0)</v>
      </c>
      <c r="N382" s="15"/>
      <c r="O382" s="15"/>
    </row>
    <row r="383" spans="1:15" x14ac:dyDescent="0.25">
      <c r="I383" s="15"/>
      <c r="J383" s="15"/>
      <c r="K383" s="15"/>
      <c r="L383" s="15"/>
      <c r="M383" s="15" t="str">
        <f>"'Measure SI-111 output of thermopile.  VoltDiff(Dest, Reps, Range, DiffChan, RevDiff, SettlingTime, Integ, Mult, Offset)"</f>
        <v>'Measure SI-111 output of thermopile.  VoltDiff(Dest, Reps, Range, DiffChan, RevDiff, SettlingTime, Integ, Mult, Offset)</v>
      </c>
      <c r="N383" s="15"/>
      <c r="O383" s="15"/>
    </row>
    <row r="384" spans="1:15" x14ac:dyDescent="0.25">
      <c r="A384" t="str">
        <f>"VoltDiff(TTmV("</f>
        <v>VoltDiff(TTmV(</v>
      </c>
      <c r="B384">
        <f>B379</f>
        <v>8</v>
      </c>
      <c r="C384" t="s">
        <v>131</v>
      </c>
      <c r="D384">
        <f>MUX1DiffChannel</f>
        <v>1</v>
      </c>
      <c r="E384" t="s">
        <v>132</v>
      </c>
      <c r="I384" s="15"/>
      <c r="J384" s="15"/>
      <c r="K384" s="15"/>
      <c r="L384" s="15"/>
      <c r="M384" s="15" t="str">
        <f>CONCATENATE(A384,B384,C384,D384,E384)</f>
        <v>VoltDiff(TTmV(8),1,mV2_5,1,True,0,_60Hz,1,0,)</v>
      </c>
      <c r="N384" s="15"/>
      <c r="O384" s="15"/>
    </row>
    <row r="385" spans="1:15" x14ac:dyDescent="0.25">
      <c r="B385" s="7">
        <v>6</v>
      </c>
      <c r="D385" s="7">
        <v>7</v>
      </c>
      <c r="F385" s="7">
        <v>8</v>
      </c>
      <c r="I385" s="15"/>
      <c r="J385" s="15"/>
      <c r="K385" s="15"/>
      <c r="L385" s="15"/>
      <c r="M385" s="15" t="s">
        <v>15</v>
      </c>
      <c r="N385" s="15"/>
      <c r="O385" s="15"/>
    </row>
    <row r="386" spans="1:15" x14ac:dyDescent="0.25">
      <c r="A386" t="str">
        <f>CONCATENATE("m","(",B379,")=")</f>
        <v>m(8)=</v>
      </c>
      <c r="B386">
        <f>VLOOKUP($C379,SensorCoeffs,B385,FALSE)</f>
        <v>1434740000</v>
      </c>
      <c r="C386" t="str">
        <f>"+("</f>
        <v>+(</v>
      </c>
      <c r="D386">
        <f>VLOOKUP($C379,SensorCoeffs,D385,FALSE)</f>
        <v>7449330</v>
      </c>
      <c r="E386" t="str">
        <f>CONCATENATE("*SBT_C","(",B379,")",")+(")</f>
        <v>*SBT_C(8))+(</v>
      </c>
      <c r="F386">
        <f>VLOOKUP($C379,SensorCoeffs,F385,FALSE)</f>
        <v>73361.899999999994</v>
      </c>
      <c r="G386" t="str">
        <f>CONCATENATE("*SBT_C","(",B379,")^2)")</f>
        <v>*SBT_C(8)^2)</v>
      </c>
      <c r="I386" s="15"/>
      <c r="J386" s="15"/>
      <c r="K386" s="15"/>
      <c r="L386" s="15"/>
      <c r="M386" s="15" t="str">
        <f>CONCATENATE(A386,B386,C386,D386,E386,F386,G386)</f>
        <v>m(8)=1434740000+(7449330*SBT_C(8))+(73361.9*SBT_C(8)^2)</v>
      </c>
      <c r="N386" s="15"/>
      <c r="O386" s="15"/>
    </row>
    <row r="387" spans="1:15" x14ac:dyDescent="0.25">
      <c r="A387" t="str">
        <f>CONCATENATE("b","(",B379,")=")</f>
        <v>b(8)=</v>
      </c>
      <c r="B387">
        <f>VLOOKUP($C379,SensorCoeffs,B385+3,FALSE)</f>
        <v>-3427590</v>
      </c>
      <c r="C387" t="str">
        <f>"+("</f>
        <v>+(</v>
      </c>
      <c r="D387">
        <f>VLOOKUP($C379,SensorCoeffs,D385+3,FALSE)</f>
        <v>28290.2</v>
      </c>
      <c r="E387" t="str">
        <f>CONCATENATE("*SBT_C","(",B379,")",")+(")</f>
        <v>*SBT_C(8))+(</v>
      </c>
      <c r="F387">
        <f>VLOOKUP($C379,SensorCoeffs,F385+3,FALSE)</f>
        <v>15814.1</v>
      </c>
      <c r="G387" t="str">
        <f>CONCATENATE("*SBT_C","(",B379,")^2)")</f>
        <v>*SBT_C(8)^2)</v>
      </c>
      <c r="I387" s="15"/>
      <c r="J387" s="15"/>
      <c r="K387" s="15"/>
      <c r="L387" s="15"/>
      <c r="M387" s="15" t="str">
        <f>CONCATENATE(A387,B387,C387,D387,E387,F387,G387)</f>
        <v>b(8)=-3427590+(28290.2*SBT_C(8))+(15814.1*SBT_C(8)^2)</v>
      </c>
      <c r="N387" s="15"/>
      <c r="O387" s="15"/>
    </row>
    <row r="388" spans="1:15" x14ac:dyDescent="0.25">
      <c r="I388" s="15"/>
      <c r="J388" s="15"/>
      <c r="K388" s="15"/>
      <c r="L388" s="15"/>
      <c r="M388" s="15" t="s">
        <v>16</v>
      </c>
      <c r="N388" s="15"/>
      <c r="O388" s="15"/>
    </row>
    <row r="389" spans="1:15" x14ac:dyDescent="0.25">
      <c r="A389" t="str">
        <f>"SBT_K("</f>
        <v>SBT_K(</v>
      </c>
      <c r="B389">
        <f>B379</f>
        <v>8</v>
      </c>
      <c r="C389" t="str">
        <f>")=SBT_C("</f>
        <v>)=SBT_C(</v>
      </c>
      <c r="D389">
        <f>B379</f>
        <v>8</v>
      </c>
      <c r="E389" t="s">
        <v>49</v>
      </c>
      <c r="I389" s="15"/>
      <c r="J389" s="15"/>
      <c r="K389" s="15"/>
      <c r="L389" s="15"/>
      <c r="M389" s="15" t="str">
        <f>CONCATENATE(A389,B389,C389,D389,E389)</f>
        <v>SBT_K(8)=SBT_C(8)+273.15</v>
      </c>
      <c r="N389" s="15"/>
      <c r="O389" s="15"/>
    </row>
    <row r="390" spans="1:15" x14ac:dyDescent="0.25">
      <c r="A390" t="str">
        <f>"TT_K("</f>
        <v>TT_K(</v>
      </c>
      <c r="B390">
        <f>B379</f>
        <v>8</v>
      </c>
      <c r="C390" t="str">
        <f>")=SBT_K("</f>
        <v>)=SBT_K(</v>
      </c>
      <c r="D390">
        <f>B379</f>
        <v>8</v>
      </c>
      <c r="E390" t="str">
        <f>CONCATENATE(")^4+TTmV","(",B379,")")</f>
        <v>)^4+TTmV(8)</v>
      </c>
      <c r="F390" t="str">
        <f>CONCATENATE("*m","(",B379,")")</f>
        <v>*m(8)</v>
      </c>
      <c r="G390" t="str">
        <f>CONCATENATE("+b","(",B379,")")</f>
        <v>+b(8)</v>
      </c>
      <c r="I390" s="15"/>
      <c r="J390" s="15"/>
      <c r="K390" s="15"/>
      <c r="L390" s="15"/>
      <c r="M390" s="15" t="str">
        <f>CONCATENATE(A390,B390,C390,D390,E390,F390,G390)</f>
        <v>TT_K(8)=SBT_K(8)^4+TTmV(8)*m(8)+b(8)</v>
      </c>
      <c r="N390" s="15"/>
      <c r="O390" s="15"/>
    </row>
    <row r="391" spans="1:15" x14ac:dyDescent="0.25">
      <c r="A391" t="str">
        <f>CONCATENATE("TT_K(")</f>
        <v>TT_K(</v>
      </c>
      <c r="B391">
        <f>B379</f>
        <v>8</v>
      </c>
      <c r="C391" t="str">
        <f>")=SQR(SQR(TT_K("</f>
        <v>)=SQR(SQR(TT_K(</v>
      </c>
      <c r="D391">
        <f>B379</f>
        <v>8</v>
      </c>
      <c r="E391" t="s">
        <v>80</v>
      </c>
      <c r="I391" s="15"/>
      <c r="J391" s="15"/>
      <c r="K391" s="15"/>
      <c r="L391" s="15"/>
      <c r="M391" s="15" t="str">
        <f>CONCATENATE(A391,B391,C391,D391,E391)</f>
        <v>TT_K(8)=SQR(SQR(TT_K(8)))</v>
      </c>
      <c r="N391" s="15"/>
      <c r="O391" s="15"/>
    </row>
    <row r="392" spans="1:15" x14ac:dyDescent="0.25">
      <c r="I392" s="15"/>
      <c r="J392" s="15"/>
      <c r="K392" s="15"/>
      <c r="L392" s="15"/>
      <c r="M392" s="15" t="s">
        <v>17</v>
      </c>
      <c r="N392" s="15"/>
      <c r="O392" s="15"/>
    </row>
    <row r="393" spans="1:15" x14ac:dyDescent="0.25">
      <c r="A393" t="str">
        <f>"TT_C("</f>
        <v>TT_C(</v>
      </c>
      <c r="B393">
        <f>B379</f>
        <v>8</v>
      </c>
      <c r="C393" t="str">
        <f>")=TT_K("</f>
        <v>)=TT_K(</v>
      </c>
      <c r="D393">
        <f>B379</f>
        <v>8</v>
      </c>
      <c r="E393" t="s">
        <v>52</v>
      </c>
      <c r="I393" s="15"/>
      <c r="J393" s="15"/>
      <c r="K393" s="15"/>
      <c r="L393" s="15"/>
      <c r="M393" s="15" t="str">
        <f>CONCATENATE(A393,B393,C393,D393,E393)</f>
        <v>TT_C(8)=TT_K(8)-273.15</v>
      </c>
      <c r="N393" s="15"/>
      <c r="O393" s="15"/>
    </row>
    <row r="394" spans="1:15" ht="15.75" thickBot="1" x14ac:dyDescent="0.3">
      <c r="A394" s="1" t="s">
        <v>200</v>
      </c>
      <c r="B394" s="1" t="s">
        <v>34</v>
      </c>
      <c r="C394" s="1" t="s">
        <v>35</v>
      </c>
      <c r="D394" s="1"/>
      <c r="E394" s="1"/>
      <c r="F394" s="1"/>
      <c r="G394" s="1"/>
      <c r="I394" s="15"/>
      <c r="J394" s="15"/>
      <c r="K394" s="15"/>
      <c r="L394" s="17" t="str">
        <f>"'Switch on next AM416 Multiplexer channel.  PulsePort(DataLogger channel C#, Delay)"</f>
        <v>'Switch on next AM416 Multiplexer channel.  PulsePort(DataLogger channel C#, Delay)</v>
      </c>
      <c r="M394" s="15"/>
      <c r="N394" s="15"/>
      <c r="O394" s="15"/>
    </row>
    <row r="395" spans="1:15" ht="16.5" thickBot="1" x14ac:dyDescent="0.3">
      <c r="A395" s="5">
        <f>A379</f>
        <v>1</v>
      </c>
      <c r="B395" s="5">
        <f>B379+1</f>
        <v>9</v>
      </c>
      <c r="C395" s="6">
        <f>C379+1</f>
        <v>9</v>
      </c>
      <c r="D395" s="84" t="s">
        <v>243</v>
      </c>
      <c r="E395" s="85"/>
      <c r="F395" s="85"/>
      <c r="G395" s="86"/>
      <c r="I395" s="15"/>
      <c r="J395" s="15"/>
      <c r="K395" s="15"/>
      <c r="L395" s="15" t="str">
        <f>"PulsePort("&amp;ClockComChannel&amp;",10000)"</f>
        <v>PulsePort(1,10000)</v>
      </c>
      <c r="M395" s="15"/>
      <c r="N395" s="15"/>
      <c r="O395" s="15"/>
    </row>
    <row r="396" spans="1:15" x14ac:dyDescent="0.25">
      <c r="I396" s="15"/>
      <c r="J396" s="15"/>
      <c r="K396" s="15"/>
      <c r="L396" s="15"/>
      <c r="M396" s="15" t="s">
        <v>22</v>
      </c>
      <c r="N396" s="15"/>
      <c r="O396" s="15"/>
    </row>
    <row r="397" spans="1:15" x14ac:dyDescent="0.25">
      <c r="I397" s="15"/>
      <c r="J397" s="15"/>
      <c r="K397" s="15"/>
      <c r="L397" s="15"/>
      <c r="M397" s="15" t="str">
        <f>"'Measure SI-111 sensor body thermistor temperature.  Therm109 (Dest, Reps, SEChan, VX/ExChan, SettlingTime, Integ, Mult, Offset)"</f>
        <v>'Measure SI-111 sensor body thermistor temperature.  Therm109 (Dest, Reps, SEChan, VX/ExChan, SettlingTime, Integ, Mult, Offset)</v>
      </c>
      <c r="N397" s="15"/>
      <c r="O397" s="15"/>
    </row>
    <row r="398" spans="1:15" x14ac:dyDescent="0.25">
      <c r="A398" t="str">
        <f>"Therm109(SBT_C("</f>
        <v>Therm109(SBT_C(</v>
      </c>
      <c r="B398">
        <f>B395</f>
        <v>9</v>
      </c>
      <c r="C398" t="s">
        <v>130</v>
      </c>
      <c r="D398">
        <f>MUX1SEChannel</f>
        <v>3</v>
      </c>
      <c r="E398" t="s">
        <v>46</v>
      </c>
      <c r="F398" t="str">
        <f>"VX"&amp;MUX1VXChannel</f>
        <v>VX2</v>
      </c>
      <c r="G398" t="s">
        <v>133</v>
      </c>
      <c r="I398" s="15"/>
      <c r="J398" s="15"/>
      <c r="K398" s="15"/>
      <c r="L398" s="15"/>
      <c r="M398" s="15" t="str">
        <f>CONCATENATE(A398,B398,C398,D398,E398,F398,G398)</f>
        <v>Therm109(SBT_C(9),1,3,VX2,0,_60Hz,1,0)</v>
      </c>
      <c r="N398" s="15"/>
      <c r="O398" s="15"/>
    </row>
    <row r="399" spans="1:15" x14ac:dyDescent="0.25">
      <c r="I399" s="15"/>
      <c r="J399" s="15"/>
      <c r="K399" s="15"/>
      <c r="L399" s="15"/>
      <c r="M399" s="15" t="str">
        <f>"'Measure SI-111 output of thermopile.  VoltDiff(Dest, Reps, Range, DiffChan, RevDiff, SettlingTime, Integ, Mult, Offset)"</f>
        <v>'Measure SI-111 output of thermopile.  VoltDiff(Dest, Reps, Range, DiffChan, RevDiff, SettlingTime, Integ, Mult, Offset)</v>
      </c>
      <c r="N399" s="15"/>
      <c r="O399" s="15"/>
    </row>
    <row r="400" spans="1:15" x14ac:dyDescent="0.25">
      <c r="A400" t="str">
        <f>"VoltDiff(TTmV("</f>
        <v>VoltDiff(TTmV(</v>
      </c>
      <c r="B400">
        <f>B395</f>
        <v>9</v>
      </c>
      <c r="C400" t="s">
        <v>131</v>
      </c>
      <c r="D400">
        <f>MUX1DiffChannel</f>
        <v>1</v>
      </c>
      <c r="E400" t="s">
        <v>132</v>
      </c>
      <c r="I400" s="15"/>
      <c r="J400" s="15"/>
      <c r="K400" s="15"/>
      <c r="L400" s="15"/>
      <c r="M400" s="15" t="str">
        <f>CONCATENATE(A400,B400,C400,D400,E400)</f>
        <v>VoltDiff(TTmV(9),1,mV2_5,1,True,0,_60Hz,1,0,)</v>
      </c>
      <c r="N400" s="15"/>
      <c r="O400" s="15"/>
    </row>
    <row r="401" spans="1:15" x14ac:dyDescent="0.25">
      <c r="B401" s="7">
        <v>6</v>
      </c>
      <c r="D401" s="7">
        <v>7</v>
      </c>
      <c r="F401" s="7">
        <v>8</v>
      </c>
      <c r="I401" s="15"/>
      <c r="J401" s="15"/>
      <c r="K401" s="15"/>
      <c r="L401" s="15"/>
      <c r="M401" s="15" t="s">
        <v>15</v>
      </c>
      <c r="N401" s="15"/>
      <c r="O401" s="15"/>
    </row>
    <row r="402" spans="1:15" x14ac:dyDescent="0.25">
      <c r="A402" t="str">
        <f>CONCATENATE("m","(",B395,")=")</f>
        <v>m(9)=</v>
      </c>
      <c r="B402">
        <f>VLOOKUP($C395,SensorCoeffs,B401,FALSE)</f>
        <v>1367620000</v>
      </c>
      <c r="C402" t="str">
        <f>"+("</f>
        <v>+(</v>
      </c>
      <c r="D402">
        <f>VLOOKUP($C395,SensorCoeffs,D401,FALSE)</f>
        <v>7237750</v>
      </c>
      <c r="E402" t="str">
        <f>CONCATENATE("*SBT_C","(",B395,")",")+(")</f>
        <v>*SBT_C(9))+(</v>
      </c>
      <c r="F402">
        <f>VLOOKUP($C395,SensorCoeffs,F401,FALSE)</f>
        <v>71645.899999999994</v>
      </c>
      <c r="G402" t="str">
        <f>CONCATENATE("*SBT_C","(",B395,")^2)")</f>
        <v>*SBT_C(9)^2)</v>
      </c>
      <c r="I402" s="15"/>
      <c r="J402" s="15"/>
      <c r="K402" s="15"/>
      <c r="L402" s="15"/>
      <c r="M402" s="15" t="str">
        <f>CONCATENATE(A402,B402,C402,D402,E402,F402,G402)</f>
        <v>m(9)=1367620000+(7237750*SBT_C(9))+(71645.9*SBT_C(9)^2)</v>
      </c>
      <c r="N402" s="15"/>
      <c r="O402" s="15"/>
    </row>
    <row r="403" spans="1:15" x14ac:dyDescent="0.25">
      <c r="A403" t="str">
        <f>CONCATENATE("b","(",B395,")=")</f>
        <v>b(9)=</v>
      </c>
      <c r="B403">
        <f>VLOOKUP($C395,SensorCoeffs,B401+3,FALSE)</f>
        <v>-5766930</v>
      </c>
      <c r="C403" t="str">
        <f>"+("</f>
        <v>+(</v>
      </c>
      <c r="D403">
        <f>VLOOKUP($C395,SensorCoeffs,D401+3,FALSE)</f>
        <v>-21127.4</v>
      </c>
      <c r="E403" t="str">
        <f>CONCATENATE("*SBT_C","(",B395,")",")+(")</f>
        <v>*SBT_C(9))+(</v>
      </c>
      <c r="F403">
        <f>VLOOKUP($C395,SensorCoeffs,F401+3,FALSE)</f>
        <v>14807.4</v>
      </c>
      <c r="G403" t="str">
        <f>CONCATENATE("*SBT_C","(",B395,")^2)")</f>
        <v>*SBT_C(9)^2)</v>
      </c>
      <c r="I403" s="15"/>
      <c r="J403" s="15"/>
      <c r="K403" s="15"/>
      <c r="L403" s="15"/>
      <c r="M403" s="15" t="str">
        <f>CONCATENATE(A403,B403,C403,D403,E403,F403,G403)</f>
        <v>b(9)=-5766930+(-21127.4*SBT_C(9))+(14807.4*SBT_C(9)^2)</v>
      </c>
      <c r="N403" s="15"/>
      <c r="O403" s="15"/>
    </row>
    <row r="404" spans="1:15" x14ac:dyDescent="0.25">
      <c r="I404" s="15"/>
      <c r="J404" s="15"/>
      <c r="K404" s="15"/>
      <c r="L404" s="15"/>
      <c r="M404" s="15" t="s">
        <v>16</v>
      </c>
      <c r="N404" s="15"/>
      <c r="O404" s="15"/>
    </row>
    <row r="405" spans="1:15" x14ac:dyDescent="0.25">
      <c r="A405" t="str">
        <f>"SBT_K("</f>
        <v>SBT_K(</v>
      </c>
      <c r="B405">
        <f>B395</f>
        <v>9</v>
      </c>
      <c r="C405" t="str">
        <f>")=SBT_C("</f>
        <v>)=SBT_C(</v>
      </c>
      <c r="D405">
        <f>B395</f>
        <v>9</v>
      </c>
      <c r="E405" t="s">
        <v>49</v>
      </c>
      <c r="I405" s="15"/>
      <c r="J405" s="15"/>
      <c r="K405" s="15"/>
      <c r="L405" s="15"/>
      <c r="M405" s="15" t="str">
        <f>CONCATENATE(A405,B405,C405,D405,E405)</f>
        <v>SBT_K(9)=SBT_C(9)+273.15</v>
      </c>
      <c r="N405" s="15"/>
      <c r="O405" s="15"/>
    </row>
    <row r="406" spans="1:15" x14ac:dyDescent="0.25">
      <c r="A406" t="str">
        <f>"TT_K("</f>
        <v>TT_K(</v>
      </c>
      <c r="B406">
        <f>B395</f>
        <v>9</v>
      </c>
      <c r="C406" t="str">
        <f>")=SBT_K("</f>
        <v>)=SBT_K(</v>
      </c>
      <c r="D406">
        <f>B395</f>
        <v>9</v>
      </c>
      <c r="E406" t="str">
        <f>CONCATENATE(")^4+TTmV","(",B395,")")</f>
        <v>)^4+TTmV(9)</v>
      </c>
      <c r="F406" t="str">
        <f>CONCATENATE("*m","(",B395,")")</f>
        <v>*m(9)</v>
      </c>
      <c r="G406" t="str">
        <f>CONCATENATE("+b","(",B395,")")</f>
        <v>+b(9)</v>
      </c>
      <c r="I406" s="15"/>
      <c r="J406" s="15"/>
      <c r="K406" s="15"/>
      <c r="L406" s="15"/>
      <c r="M406" s="15" t="str">
        <f>CONCATENATE(A406,B406,C406,D406,E406,F406,G406)</f>
        <v>TT_K(9)=SBT_K(9)^4+TTmV(9)*m(9)+b(9)</v>
      </c>
      <c r="N406" s="15"/>
      <c r="O406" s="15"/>
    </row>
    <row r="407" spans="1:15" x14ac:dyDescent="0.25">
      <c r="A407" t="str">
        <f>CONCATENATE("TT_K(")</f>
        <v>TT_K(</v>
      </c>
      <c r="B407">
        <f>B395</f>
        <v>9</v>
      </c>
      <c r="C407" t="str">
        <f>")=SQR(SQR(TT_K("</f>
        <v>)=SQR(SQR(TT_K(</v>
      </c>
      <c r="D407">
        <f>B395</f>
        <v>9</v>
      </c>
      <c r="E407" t="s">
        <v>80</v>
      </c>
      <c r="I407" s="15"/>
      <c r="J407" s="15"/>
      <c r="K407" s="15"/>
      <c r="L407" s="15"/>
      <c r="M407" s="15" t="str">
        <f>CONCATENATE(A407,B407,C407,D407,E407)</f>
        <v>TT_K(9)=SQR(SQR(TT_K(9)))</v>
      </c>
      <c r="N407" s="15"/>
      <c r="O407" s="15"/>
    </row>
    <row r="408" spans="1:15" x14ac:dyDescent="0.25">
      <c r="I408" s="15"/>
      <c r="J408" s="15"/>
      <c r="K408" s="15"/>
      <c r="L408" s="15"/>
      <c r="M408" s="15" t="s">
        <v>17</v>
      </c>
      <c r="N408" s="15"/>
      <c r="O408" s="15"/>
    </row>
    <row r="409" spans="1:15" x14ac:dyDescent="0.25">
      <c r="A409" t="str">
        <f>"TT_C("</f>
        <v>TT_C(</v>
      </c>
      <c r="B409">
        <f>B395</f>
        <v>9</v>
      </c>
      <c r="C409" t="str">
        <f>")=TT_K("</f>
        <v>)=TT_K(</v>
      </c>
      <c r="D409">
        <f>B395</f>
        <v>9</v>
      </c>
      <c r="E409" t="s">
        <v>52</v>
      </c>
      <c r="I409" s="15"/>
      <c r="J409" s="15"/>
      <c r="K409" s="15"/>
      <c r="L409" s="15"/>
      <c r="M409" s="15" t="str">
        <f>CONCATENATE(A409,B409,C409,D409,E409)</f>
        <v>TT_C(9)=TT_K(9)-273.15</v>
      </c>
      <c r="N409" s="15"/>
      <c r="O409" s="15"/>
    </row>
    <row r="410" spans="1:15" ht="15.75" thickBot="1" x14ac:dyDescent="0.3">
      <c r="A410" s="1" t="s">
        <v>200</v>
      </c>
      <c r="B410" s="1" t="s">
        <v>34</v>
      </c>
      <c r="C410" s="1" t="s">
        <v>35</v>
      </c>
      <c r="D410" s="1"/>
      <c r="E410" s="1"/>
      <c r="F410" s="1"/>
      <c r="G410" s="1"/>
      <c r="I410" s="15"/>
      <c r="J410" s="15"/>
      <c r="K410" s="15"/>
      <c r="L410" s="17" t="str">
        <f>"'Switch on next AM416 Multiplexer channel.  PulsePort(DataLogger channel C#, Delay)"</f>
        <v>'Switch on next AM416 Multiplexer channel.  PulsePort(DataLogger channel C#, Delay)</v>
      </c>
      <c r="M410" s="15"/>
      <c r="N410" s="15"/>
      <c r="O410" s="15"/>
    </row>
    <row r="411" spans="1:15" ht="16.5" thickBot="1" x14ac:dyDescent="0.3">
      <c r="A411" s="5">
        <f>A395</f>
        <v>1</v>
      </c>
      <c r="B411" s="5">
        <f>B395+1</f>
        <v>10</v>
      </c>
      <c r="C411" s="6">
        <f>C395+1</f>
        <v>10</v>
      </c>
      <c r="D411" s="84" t="s">
        <v>243</v>
      </c>
      <c r="E411" s="85"/>
      <c r="F411" s="85"/>
      <c r="G411" s="86"/>
      <c r="I411" s="15"/>
      <c r="J411" s="15"/>
      <c r="K411" s="15"/>
      <c r="L411" s="15" t="str">
        <f>"PulsePort("&amp;ClockComChannel&amp;",10000)"</f>
        <v>PulsePort(1,10000)</v>
      </c>
      <c r="M411" s="15"/>
      <c r="N411" s="15"/>
      <c r="O411" s="15"/>
    </row>
    <row r="412" spans="1:15" x14ac:dyDescent="0.25">
      <c r="I412" s="15"/>
      <c r="J412" s="15"/>
      <c r="K412" s="15"/>
      <c r="L412" s="15"/>
      <c r="M412" s="15" t="s">
        <v>22</v>
      </c>
      <c r="N412" s="15"/>
      <c r="O412" s="15"/>
    </row>
    <row r="413" spans="1:15" x14ac:dyDescent="0.25">
      <c r="I413" s="15"/>
      <c r="J413" s="15"/>
      <c r="K413" s="15"/>
      <c r="L413" s="15"/>
      <c r="M413" s="15" t="str">
        <f>"'Measure SI-111 sensor body thermistor temperature.  Therm109 (Dest, Reps, SEChan, VX/ExChan, SettlingTime, Integ, Mult, Offset)"</f>
        <v>'Measure SI-111 sensor body thermistor temperature.  Therm109 (Dest, Reps, SEChan, VX/ExChan, SettlingTime, Integ, Mult, Offset)</v>
      </c>
      <c r="N413" s="15"/>
      <c r="O413" s="15"/>
    </row>
    <row r="414" spans="1:15" x14ac:dyDescent="0.25">
      <c r="A414" t="str">
        <f>"Therm109(SBT_C("</f>
        <v>Therm109(SBT_C(</v>
      </c>
      <c r="B414">
        <f>B411</f>
        <v>10</v>
      </c>
      <c r="C414" t="s">
        <v>130</v>
      </c>
      <c r="D414">
        <f>MUX1SEChannel</f>
        <v>3</v>
      </c>
      <c r="E414" t="s">
        <v>46</v>
      </c>
      <c r="F414" t="str">
        <f>"VX"&amp;MUX1VXChannel</f>
        <v>VX2</v>
      </c>
      <c r="G414" t="s">
        <v>133</v>
      </c>
      <c r="I414" s="15"/>
      <c r="J414" s="15"/>
      <c r="K414" s="15"/>
      <c r="L414" s="15"/>
      <c r="M414" s="15" t="str">
        <f>CONCATENATE(A414,B414,C414,D414,E414,F414,G414)</f>
        <v>Therm109(SBT_C(10),1,3,VX2,0,_60Hz,1,0)</v>
      </c>
      <c r="N414" s="15"/>
      <c r="O414" s="15"/>
    </row>
    <row r="415" spans="1:15" x14ac:dyDescent="0.25">
      <c r="I415" s="15"/>
      <c r="J415" s="15"/>
      <c r="K415" s="15"/>
      <c r="L415" s="15"/>
      <c r="M415" s="15" t="str">
        <f>"'Measure SI-111 output of thermopile.  VoltDiff(Dest, Reps, Range, DiffChan, RevDiff, SettlingTime, Integ, Mult, Offset)"</f>
        <v>'Measure SI-111 output of thermopile.  VoltDiff(Dest, Reps, Range, DiffChan, RevDiff, SettlingTime, Integ, Mult, Offset)</v>
      </c>
      <c r="N415" s="15"/>
      <c r="O415" s="15"/>
    </row>
    <row r="416" spans="1:15" x14ac:dyDescent="0.25">
      <c r="A416" t="str">
        <f>"VoltDiff(TTmV("</f>
        <v>VoltDiff(TTmV(</v>
      </c>
      <c r="B416">
        <f>B411</f>
        <v>10</v>
      </c>
      <c r="C416" t="s">
        <v>131</v>
      </c>
      <c r="D416">
        <f>MUX1DiffChannel</f>
        <v>1</v>
      </c>
      <c r="E416" t="s">
        <v>132</v>
      </c>
      <c r="I416" s="15"/>
      <c r="J416" s="15"/>
      <c r="K416" s="15"/>
      <c r="L416" s="15"/>
      <c r="M416" s="15" t="str">
        <f>CONCATENATE(A416,B416,C416,D416,E416)</f>
        <v>VoltDiff(TTmV(10),1,mV2_5,1,True,0,_60Hz,1,0,)</v>
      </c>
      <c r="N416" s="15"/>
      <c r="O416" s="15"/>
    </row>
    <row r="417" spans="1:15" x14ac:dyDescent="0.25">
      <c r="B417" s="7">
        <v>6</v>
      </c>
      <c r="D417" s="7">
        <v>7</v>
      </c>
      <c r="F417" s="7">
        <v>8</v>
      </c>
      <c r="I417" s="15"/>
      <c r="J417" s="15"/>
      <c r="K417" s="15"/>
      <c r="L417" s="15"/>
      <c r="M417" s="15" t="s">
        <v>15</v>
      </c>
      <c r="N417" s="15"/>
      <c r="O417" s="15"/>
    </row>
    <row r="418" spans="1:15" x14ac:dyDescent="0.25">
      <c r="A418" t="str">
        <f>CONCATENATE("m","(",B411,")=")</f>
        <v>m(10)=</v>
      </c>
      <c r="B418">
        <f>VLOOKUP($C411,SensorCoeffs,B417,FALSE)</f>
        <v>1339840000</v>
      </c>
      <c r="C418" t="str">
        <f>"+("</f>
        <v>+(</v>
      </c>
      <c r="D418">
        <f>VLOOKUP($C411,SensorCoeffs,D417,FALSE)</f>
        <v>7046660</v>
      </c>
      <c r="E418" t="str">
        <f>CONCATENATE("*SBT_C","(",B411,")",")+(")</f>
        <v>*SBT_C(10))+(</v>
      </c>
      <c r="F418">
        <f>VLOOKUP($C411,SensorCoeffs,F417,FALSE)</f>
        <v>74491.8</v>
      </c>
      <c r="G418" t="str">
        <f>CONCATENATE("*SBT_C","(",B411,")^2)")</f>
        <v>*SBT_C(10)^2)</v>
      </c>
      <c r="I418" s="15"/>
      <c r="J418" s="15"/>
      <c r="K418" s="15"/>
      <c r="L418" s="15"/>
      <c r="M418" s="15" t="str">
        <f>CONCATENATE(A418,B418,C418,D418,E418,F418,G418)</f>
        <v>m(10)=1339840000+(7046660*SBT_C(10))+(74491.8*SBT_C(10)^2)</v>
      </c>
      <c r="N418" s="15"/>
      <c r="O418" s="15"/>
    </row>
    <row r="419" spans="1:15" x14ac:dyDescent="0.25">
      <c r="A419" t="str">
        <f>CONCATENATE("b","(",B411,")=")</f>
        <v>b(10)=</v>
      </c>
      <c r="B419">
        <f>VLOOKUP($C411,SensorCoeffs,B417+3,FALSE)</f>
        <v>-5004960</v>
      </c>
      <c r="C419" t="str">
        <f>"+("</f>
        <v>+(</v>
      </c>
      <c r="D419">
        <f>VLOOKUP($C411,SensorCoeffs,D417+3,FALSE)</f>
        <v>57560.6</v>
      </c>
      <c r="E419" t="str">
        <f>CONCATENATE("*SBT_C","(",B411,")",")+(")</f>
        <v>*SBT_C(10))+(</v>
      </c>
      <c r="F419">
        <f>VLOOKUP($C411,SensorCoeffs,F417+3,FALSE)</f>
        <v>13317.6</v>
      </c>
      <c r="G419" t="str">
        <f>CONCATENATE("*SBT_C","(",B411,")^2)")</f>
        <v>*SBT_C(10)^2)</v>
      </c>
      <c r="I419" s="15"/>
      <c r="J419" s="15"/>
      <c r="K419" s="15"/>
      <c r="L419" s="15"/>
      <c r="M419" s="15" t="str">
        <f>CONCATENATE(A419,B419,C419,D419,E419,F419,G419)</f>
        <v>b(10)=-5004960+(57560.6*SBT_C(10))+(13317.6*SBT_C(10)^2)</v>
      </c>
      <c r="N419" s="15"/>
      <c r="O419" s="15"/>
    </row>
    <row r="420" spans="1:15" x14ac:dyDescent="0.25">
      <c r="I420" s="15"/>
      <c r="J420" s="15"/>
      <c r="K420" s="15"/>
      <c r="L420" s="15"/>
      <c r="M420" s="15" t="s">
        <v>16</v>
      </c>
      <c r="N420" s="15"/>
      <c r="O420" s="15"/>
    </row>
    <row r="421" spans="1:15" x14ac:dyDescent="0.25">
      <c r="A421" t="str">
        <f>"SBT_K("</f>
        <v>SBT_K(</v>
      </c>
      <c r="B421">
        <f>B411</f>
        <v>10</v>
      </c>
      <c r="C421" t="str">
        <f>")=SBT_C("</f>
        <v>)=SBT_C(</v>
      </c>
      <c r="D421">
        <f>B411</f>
        <v>10</v>
      </c>
      <c r="E421" t="s">
        <v>49</v>
      </c>
      <c r="I421" s="15"/>
      <c r="J421" s="15"/>
      <c r="K421" s="15"/>
      <c r="L421" s="15"/>
      <c r="M421" s="15" t="str">
        <f>CONCATENATE(A421,B421,C421,D421,E421)</f>
        <v>SBT_K(10)=SBT_C(10)+273.15</v>
      </c>
      <c r="N421" s="15"/>
      <c r="O421" s="15"/>
    </row>
    <row r="422" spans="1:15" x14ac:dyDescent="0.25">
      <c r="A422" t="str">
        <f>"TT_K("</f>
        <v>TT_K(</v>
      </c>
      <c r="B422">
        <f>B411</f>
        <v>10</v>
      </c>
      <c r="C422" t="str">
        <f>")=SBT_K("</f>
        <v>)=SBT_K(</v>
      </c>
      <c r="D422">
        <f>B411</f>
        <v>10</v>
      </c>
      <c r="E422" t="str">
        <f>CONCATENATE(")^4+TTmV","(",B411,")")</f>
        <v>)^4+TTmV(10)</v>
      </c>
      <c r="F422" t="str">
        <f>CONCATENATE("*m","(",B411,")")</f>
        <v>*m(10)</v>
      </c>
      <c r="G422" t="str">
        <f>CONCATENATE("+b","(",B411,")")</f>
        <v>+b(10)</v>
      </c>
      <c r="I422" s="15"/>
      <c r="J422" s="15"/>
      <c r="K422" s="15"/>
      <c r="L422" s="15"/>
      <c r="M422" s="15" t="str">
        <f>CONCATENATE(A422,B422,C422,D422,E422,F422,G422)</f>
        <v>TT_K(10)=SBT_K(10)^4+TTmV(10)*m(10)+b(10)</v>
      </c>
      <c r="N422" s="15"/>
      <c r="O422" s="15"/>
    </row>
    <row r="423" spans="1:15" x14ac:dyDescent="0.25">
      <c r="A423" t="str">
        <f>CONCATENATE("TT_K(")</f>
        <v>TT_K(</v>
      </c>
      <c r="B423">
        <f>B411</f>
        <v>10</v>
      </c>
      <c r="C423" t="str">
        <f>")=SQR(SQR(TT_K("</f>
        <v>)=SQR(SQR(TT_K(</v>
      </c>
      <c r="D423">
        <f>B411</f>
        <v>10</v>
      </c>
      <c r="E423" t="s">
        <v>80</v>
      </c>
      <c r="I423" s="15"/>
      <c r="J423" s="15"/>
      <c r="K423" s="15"/>
      <c r="L423" s="15"/>
      <c r="M423" s="15" t="str">
        <f>CONCATENATE(A423,B423,C423,D423,E423)</f>
        <v>TT_K(10)=SQR(SQR(TT_K(10)))</v>
      </c>
      <c r="N423" s="15"/>
      <c r="O423" s="15"/>
    </row>
    <row r="424" spans="1:15" x14ac:dyDescent="0.25">
      <c r="I424" s="15"/>
      <c r="J424" s="15"/>
      <c r="K424" s="15"/>
      <c r="L424" s="15"/>
      <c r="M424" s="15" t="s">
        <v>17</v>
      </c>
      <c r="N424" s="15"/>
      <c r="O424" s="15"/>
    </row>
    <row r="425" spans="1:15" x14ac:dyDescent="0.25">
      <c r="A425" t="str">
        <f>"TT_C("</f>
        <v>TT_C(</v>
      </c>
      <c r="B425">
        <f>B411</f>
        <v>10</v>
      </c>
      <c r="C425" t="str">
        <f>")=TT_K("</f>
        <v>)=TT_K(</v>
      </c>
      <c r="D425">
        <f>B411</f>
        <v>10</v>
      </c>
      <c r="E425" t="s">
        <v>52</v>
      </c>
      <c r="I425" s="15"/>
      <c r="J425" s="15"/>
      <c r="K425" s="15"/>
      <c r="L425" s="15"/>
      <c r="M425" s="15" t="str">
        <f>CONCATENATE(A425,B425,C425,D425,E425)</f>
        <v>TT_C(10)=TT_K(10)-273.15</v>
      </c>
      <c r="N425" s="15"/>
      <c r="O425" s="15"/>
    </row>
    <row r="426" spans="1:15" ht="15.75" thickBot="1" x14ac:dyDescent="0.3">
      <c r="A426" s="1" t="s">
        <v>200</v>
      </c>
      <c r="B426" s="1" t="s">
        <v>34</v>
      </c>
      <c r="C426" s="1" t="s">
        <v>35</v>
      </c>
      <c r="D426" s="1"/>
      <c r="E426" s="1"/>
      <c r="F426" s="1"/>
      <c r="G426" s="1"/>
      <c r="I426" s="15"/>
      <c r="J426" s="15"/>
      <c r="K426" s="15"/>
      <c r="L426" s="17" t="str">
        <f>"'Switch on next AM416 Multiplexer channel.  PulsePort(DataLogger channel C#, Delay)"</f>
        <v>'Switch on next AM416 Multiplexer channel.  PulsePort(DataLogger channel C#, Delay)</v>
      </c>
      <c r="M426" s="15"/>
      <c r="N426" s="15"/>
      <c r="O426" s="15"/>
    </row>
    <row r="427" spans="1:15" ht="16.5" thickBot="1" x14ac:dyDescent="0.3">
      <c r="A427" s="5">
        <f>A411</f>
        <v>1</v>
      </c>
      <c r="B427" s="5">
        <f>B411+1</f>
        <v>11</v>
      </c>
      <c r="C427" s="6">
        <f>C411+1</f>
        <v>11</v>
      </c>
      <c r="D427" s="84" t="s">
        <v>243</v>
      </c>
      <c r="E427" s="85"/>
      <c r="F427" s="85"/>
      <c r="G427" s="86"/>
      <c r="I427" s="15"/>
      <c r="J427" s="15"/>
      <c r="K427" s="15"/>
      <c r="L427" s="15" t="str">
        <f>"PulsePort("&amp;ClockComChannel&amp;",10000)"</f>
        <v>PulsePort(1,10000)</v>
      </c>
      <c r="M427" s="15"/>
      <c r="N427" s="15"/>
      <c r="O427" s="15"/>
    </row>
    <row r="428" spans="1:15" x14ac:dyDescent="0.25">
      <c r="I428" s="15"/>
      <c r="J428" s="15"/>
      <c r="K428" s="15"/>
      <c r="L428" s="15"/>
      <c r="M428" s="15" t="s">
        <v>22</v>
      </c>
      <c r="N428" s="15"/>
      <c r="O428" s="15"/>
    </row>
    <row r="429" spans="1:15" x14ac:dyDescent="0.25">
      <c r="I429" s="15"/>
      <c r="J429" s="15"/>
      <c r="K429" s="15"/>
      <c r="L429" s="15"/>
      <c r="M429" s="15" t="str">
        <f>"'Measure SI-111 sensor body thermistor temperature.  Therm109 (Dest, Reps, SEChan, VX/ExChan, SettlingTime, Integ, Mult, Offset)"</f>
        <v>'Measure SI-111 sensor body thermistor temperature.  Therm109 (Dest, Reps, SEChan, VX/ExChan, SettlingTime, Integ, Mult, Offset)</v>
      </c>
      <c r="N429" s="15"/>
      <c r="O429" s="15"/>
    </row>
    <row r="430" spans="1:15" x14ac:dyDescent="0.25">
      <c r="A430" t="str">
        <f>"Therm109(SBT_C("</f>
        <v>Therm109(SBT_C(</v>
      </c>
      <c r="B430">
        <f>B427</f>
        <v>11</v>
      </c>
      <c r="C430" t="s">
        <v>130</v>
      </c>
      <c r="D430">
        <f>MUX1SEChannel</f>
        <v>3</v>
      </c>
      <c r="E430" t="s">
        <v>46</v>
      </c>
      <c r="F430" t="str">
        <f>"VX"&amp;MUX1VXChannel</f>
        <v>VX2</v>
      </c>
      <c r="G430" t="s">
        <v>133</v>
      </c>
      <c r="I430" s="15"/>
      <c r="J430" s="15"/>
      <c r="K430" s="15"/>
      <c r="L430" s="15"/>
      <c r="M430" s="15" t="str">
        <f>CONCATENATE(A430,B430,C430,D430,E430,F430,G430)</f>
        <v>Therm109(SBT_C(11),1,3,VX2,0,_60Hz,1,0)</v>
      </c>
      <c r="N430" s="15"/>
      <c r="O430" s="15"/>
    </row>
    <row r="431" spans="1:15" x14ac:dyDescent="0.25">
      <c r="I431" s="15"/>
      <c r="J431" s="15"/>
      <c r="K431" s="15"/>
      <c r="L431" s="15"/>
      <c r="M431" s="15" t="str">
        <f>"'Measure SI-111 output of thermopile.  VoltDiff(Dest, Reps, Range, DiffChan, RevDiff, SettlingTime, Integ, Mult, Offset)"</f>
        <v>'Measure SI-111 output of thermopile.  VoltDiff(Dest, Reps, Range, DiffChan, RevDiff, SettlingTime, Integ, Mult, Offset)</v>
      </c>
      <c r="N431" s="15"/>
      <c r="O431" s="15"/>
    </row>
    <row r="432" spans="1:15" x14ac:dyDescent="0.25">
      <c r="A432" t="str">
        <f>"VoltDiff(TTmV("</f>
        <v>VoltDiff(TTmV(</v>
      </c>
      <c r="B432">
        <f>B427</f>
        <v>11</v>
      </c>
      <c r="C432" t="s">
        <v>131</v>
      </c>
      <c r="D432">
        <f>MUX1DiffChannel</f>
        <v>1</v>
      </c>
      <c r="E432" t="s">
        <v>132</v>
      </c>
      <c r="I432" s="15"/>
      <c r="J432" s="15"/>
      <c r="K432" s="15"/>
      <c r="L432" s="15"/>
      <c r="M432" s="15" t="str">
        <f>CONCATENATE(A432,B432,C432,D432,E432)</f>
        <v>VoltDiff(TTmV(11),1,mV2_5,1,True,0,_60Hz,1,0,)</v>
      </c>
      <c r="N432" s="15"/>
      <c r="O432" s="15"/>
    </row>
    <row r="433" spans="1:15" x14ac:dyDescent="0.25">
      <c r="B433" s="7">
        <v>6</v>
      </c>
      <c r="D433" s="7">
        <v>7</v>
      </c>
      <c r="F433" s="7">
        <v>8</v>
      </c>
      <c r="I433" s="15"/>
      <c r="J433" s="15"/>
      <c r="K433" s="15"/>
      <c r="L433" s="15"/>
      <c r="M433" s="15" t="s">
        <v>15</v>
      </c>
      <c r="N433" s="15"/>
      <c r="O433" s="15"/>
    </row>
    <row r="434" spans="1:15" x14ac:dyDescent="0.25">
      <c r="A434" t="str">
        <f>CONCATENATE("m","(",B427,")=")</f>
        <v>m(11)=</v>
      </c>
      <c r="B434">
        <f>VLOOKUP($C427,SensorCoeffs,B433,FALSE)</f>
        <v>1737340000</v>
      </c>
      <c r="C434" t="str">
        <f>"+("</f>
        <v>+(</v>
      </c>
      <c r="D434">
        <f>VLOOKUP($C427,SensorCoeffs,D433,FALSE)</f>
        <v>9126780</v>
      </c>
      <c r="E434" t="str">
        <f>CONCATENATE("*SBT_C","(",B427,")",")+(")</f>
        <v>*SBT_C(11))+(</v>
      </c>
      <c r="F434">
        <f>VLOOKUP($C427,SensorCoeffs,F433,FALSE)</f>
        <v>95247.2</v>
      </c>
      <c r="G434" t="str">
        <f>CONCATENATE("*SBT_C","(",B427,")^2)")</f>
        <v>*SBT_C(11)^2)</v>
      </c>
      <c r="I434" s="15"/>
      <c r="J434" s="15"/>
      <c r="K434" s="15"/>
      <c r="L434" s="15"/>
      <c r="M434" s="15" t="str">
        <f>CONCATENATE(A434,B434,C434,D434,E434,F434,G434)</f>
        <v>m(11)=1737340000+(9126780*SBT_C(11))+(95247.2*SBT_C(11)^2)</v>
      </c>
      <c r="N434" s="15"/>
      <c r="O434" s="15"/>
    </row>
    <row r="435" spans="1:15" x14ac:dyDescent="0.25">
      <c r="A435" t="str">
        <f>CONCATENATE("b","(",B427,")=")</f>
        <v>b(11)=</v>
      </c>
      <c r="B435">
        <f>VLOOKUP($C427,SensorCoeffs,B433+3,FALSE)</f>
        <v>-18151800</v>
      </c>
      <c r="C435" t="str">
        <f>"+("</f>
        <v>+(</v>
      </c>
      <c r="D435">
        <f>VLOOKUP($C427,SensorCoeffs,D433+3,FALSE)</f>
        <v>888.14499999999998</v>
      </c>
      <c r="E435" t="str">
        <f>CONCATENATE("*SBT_C","(",B427,")",")+(")</f>
        <v>*SBT_C(11))+(</v>
      </c>
      <c r="F435">
        <f>VLOOKUP($C427,SensorCoeffs,F433+3,FALSE)</f>
        <v>15603.9</v>
      </c>
      <c r="G435" t="str">
        <f>CONCATENATE("*SBT_C","(",B427,")^2)")</f>
        <v>*SBT_C(11)^2)</v>
      </c>
      <c r="I435" s="15"/>
      <c r="J435" s="15"/>
      <c r="K435" s="15"/>
      <c r="L435" s="15"/>
      <c r="M435" s="15" t="str">
        <f>CONCATENATE(A435,B435,C435,D435,E435,F435,G435)</f>
        <v>b(11)=-18151800+(888.145*SBT_C(11))+(15603.9*SBT_C(11)^2)</v>
      </c>
      <c r="N435" s="15"/>
      <c r="O435" s="15"/>
    </row>
    <row r="436" spans="1:15" x14ac:dyDescent="0.25">
      <c r="I436" s="15"/>
      <c r="J436" s="15"/>
      <c r="K436" s="15"/>
      <c r="L436" s="15"/>
      <c r="M436" s="15" t="s">
        <v>16</v>
      </c>
      <c r="N436" s="15"/>
      <c r="O436" s="15"/>
    </row>
    <row r="437" spans="1:15" x14ac:dyDescent="0.25">
      <c r="A437" t="str">
        <f>"SBT_K("</f>
        <v>SBT_K(</v>
      </c>
      <c r="B437">
        <f>B427</f>
        <v>11</v>
      </c>
      <c r="C437" t="str">
        <f>")=SBT_C("</f>
        <v>)=SBT_C(</v>
      </c>
      <c r="D437">
        <f>B427</f>
        <v>11</v>
      </c>
      <c r="E437" t="s">
        <v>49</v>
      </c>
      <c r="I437" s="15"/>
      <c r="J437" s="15"/>
      <c r="K437" s="15"/>
      <c r="L437" s="15"/>
      <c r="M437" s="15" t="str">
        <f>CONCATENATE(A437,B437,C437,D437,E437)</f>
        <v>SBT_K(11)=SBT_C(11)+273.15</v>
      </c>
      <c r="N437" s="15"/>
      <c r="O437" s="15"/>
    </row>
    <row r="438" spans="1:15" x14ac:dyDescent="0.25">
      <c r="A438" t="str">
        <f>"TT_K("</f>
        <v>TT_K(</v>
      </c>
      <c r="B438">
        <f>B427</f>
        <v>11</v>
      </c>
      <c r="C438" t="str">
        <f>")=SBT_K("</f>
        <v>)=SBT_K(</v>
      </c>
      <c r="D438">
        <f>B427</f>
        <v>11</v>
      </c>
      <c r="E438" t="str">
        <f>CONCATENATE(")^4+TTmV","(",B427,")")</f>
        <v>)^4+TTmV(11)</v>
      </c>
      <c r="F438" t="str">
        <f>CONCATENATE("*m","(",B427,")")</f>
        <v>*m(11)</v>
      </c>
      <c r="G438" t="str">
        <f>CONCATENATE("+b","(",B427,")")</f>
        <v>+b(11)</v>
      </c>
      <c r="I438" s="15"/>
      <c r="J438" s="15"/>
      <c r="K438" s="15"/>
      <c r="L438" s="15"/>
      <c r="M438" s="15" t="str">
        <f>CONCATENATE(A438,B438,C438,D438,E438,F438,G438)</f>
        <v>TT_K(11)=SBT_K(11)^4+TTmV(11)*m(11)+b(11)</v>
      </c>
      <c r="N438" s="15"/>
      <c r="O438" s="15"/>
    </row>
    <row r="439" spans="1:15" x14ac:dyDescent="0.25">
      <c r="A439" t="str">
        <f>CONCATENATE("TT_K(")</f>
        <v>TT_K(</v>
      </c>
      <c r="B439">
        <f>B427</f>
        <v>11</v>
      </c>
      <c r="C439" t="str">
        <f>")=SQR(SQR(TT_K("</f>
        <v>)=SQR(SQR(TT_K(</v>
      </c>
      <c r="D439">
        <f>B427</f>
        <v>11</v>
      </c>
      <c r="E439" t="s">
        <v>80</v>
      </c>
      <c r="I439" s="15"/>
      <c r="J439" s="15"/>
      <c r="K439" s="15"/>
      <c r="L439" s="15"/>
      <c r="M439" s="15" t="str">
        <f>CONCATENATE(A439,B439,C439,D439,E439)</f>
        <v>TT_K(11)=SQR(SQR(TT_K(11)))</v>
      </c>
      <c r="N439" s="15"/>
      <c r="O439" s="15"/>
    </row>
    <row r="440" spans="1:15" x14ac:dyDescent="0.25">
      <c r="I440" s="15"/>
      <c r="J440" s="15"/>
      <c r="K440" s="15"/>
      <c r="L440" s="15"/>
      <c r="M440" s="15" t="s">
        <v>17</v>
      </c>
      <c r="N440" s="15"/>
      <c r="O440" s="15"/>
    </row>
    <row r="441" spans="1:15" x14ac:dyDescent="0.25">
      <c r="A441" t="str">
        <f>"TT_C("</f>
        <v>TT_C(</v>
      </c>
      <c r="B441">
        <f>B427</f>
        <v>11</v>
      </c>
      <c r="C441" t="str">
        <f>")=TT_K("</f>
        <v>)=TT_K(</v>
      </c>
      <c r="D441">
        <f>B427</f>
        <v>11</v>
      </c>
      <c r="E441" t="s">
        <v>52</v>
      </c>
      <c r="I441" s="15"/>
      <c r="J441" s="15"/>
      <c r="K441" s="15"/>
      <c r="L441" s="15"/>
      <c r="M441" s="15" t="str">
        <f>CONCATENATE(A441,B441,C441,D441,E441)</f>
        <v>TT_C(11)=TT_K(11)-273.15</v>
      </c>
      <c r="N441" s="15"/>
      <c r="O441" s="15"/>
    </row>
    <row r="442" spans="1:15" ht="15.75" thickBot="1" x14ac:dyDescent="0.3">
      <c r="A442" s="1" t="s">
        <v>200</v>
      </c>
      <c r="B442" s="1" t="s">
        <v>34</v>
      </c>
      <c r="C442" s="1" t="s">
        <v>35</v>
      </c>
      <c r="D442" s="1"/>
      <c r="E442" s="1"/>
      <c r="F442" s="1"/>
      <c r="G442" s="1"/>
      <c r="I442" s="15"/>
      <c r="J442" s="15"/>
      <c r="K442" s="15"/>
      <c r="L442" s="17" t="str">
        <f>"'Switch on next AM416 Multiplexer channel.  PulsePort(DataLogger channel C#, Delay)"</f>
        <v>'Switch on next AM416 Multiplexer channel.  PulsePort(DataLogger channel C#, Delay)</v>
      </c>
      <c r="M442" s="15"/>
      <c r="N442" s="15"/>
      <c r="O442" s="15"/>
    </row>
    <row r="443" spans="1:15" ht="16.5" thickBot="1" x14ac:dyDescent="0.3">
      <c r="A443" s="5">
        <f>A427</f>
        <v>1</v>
      </c>
      <c r="B443" s="5">
        <f>B427+1</f>
        <v>12</v>
      </c>
      <c r="C443" s="6">
        <f>C427+1</f>
        <v>12</v>
      </c>
      <c r="D443" s="84" t="s">
        <v>243</v>
      </c>
      <c r="E443" s="85"/>
      <c r="F443" s="85"/>
      <c r="G443" s="86"/>
      <c r="I443" s="15"/>
      <c r="J443" s="15"/>
      <c r="K443" s="15"/>
      <c r="L443" s="15" t="str">
        <f>"PulsePort("&amp;ClockComChannel&amp;",10000)"</f>
        <v>PulsePort(1,10000)</v>
      </c>
      <c r="M443" s="15"/>
      <c r="N443" s="15"/>
      <c r="O443" s="15"/>
    </row>
    <row r="444" spans="1:15" x14ac:dyDescent="0.25">
      <c r="I444" s="15"/>
      <c r="J444" s="15"/>
      <c r="K444" s="15"/>
      <c r="L444" s="15"/>
      <c r="M444" s="15" t="s">
        <v>22</v>
      </c>
      <c r="N444" s="15"/>
      <c r="O444" s="15"/>
    </row>
    <row r="445" spans="1:15" x14ac:dyDescent="0.25">
      <c r="I445" s="15"/>
      <c r="J445" s="15"/>
      <c r="K445" s="15"/>
      <c r="L445" s="15"/>
      <c r="M445" s="15" t="str">
        <f>"'Measure SI-111 sensor body thermistor temperature.  Therm109 (Dest, Reps, SEChan, VX/ExChan, SettlingTime, Integ, Mult, Offset)"</f>
        <v>'Measure SI-111 sensor body thermistor temperature.  Therm109 (Dest, Reps, SEChan, VX/ExChan, SettlingTime, Integ, Mult, Offset)</v>
      </c>
      <c r="N445" s="15"/>
      <c r="O445" s="15"/>
    </row>
    <row r="446" spans="1:15" x14ac:dyDescent="0.25">
      <c r="A446" t="str">
        <f>"Therm109(SBT_C("</f>
        <v>Therm109(SBT_C(</v>
      </c>
      <c r="B446">
        <f>B443</f>
        <v>12</v>
      </c>
      <c r="C446" t="s">
        <v>130</v>
      </c>
      <c r="D446">
        <f>MUX1SEChannel</f>
        <v>3</v>
      </c>
      <c r="E446" t="s">
        <v>46</v>
      </c>
      <c r="F446" t="str">
        <f>"VX"&amp;MUX1VXChannel</f>
        <v>VX2</v>
      </c>
      <c r="G446" t="s">
        <v>133</v>
      </c>
      <c r="I446" s="15"/>
      <c r="J446" s="15"/>
      <c r="K446" s="15"/>
      <c r="L446" s="15"/>
      <c r="M446" s="15" t="str">
        <f>CONCATENATE(A446,B446,C446,D446,E446,F446,G446)</f>
        <v>Therm109(SBT_C(12),1,3,VX2,0,_60Hz,1,0)</v>
      </c>
      <c r="N446" s="15"/>
      <c r="O446" s="15"/>
    </row>
    <row r="447" spans="1:15" x14ac:dyDescent="0.25">
      <c r="I447" s="15"/>
      <c r="J447" s="15"/>
      <c r="K447" s="15"/>
      <c r="L447" s="15"/>
      <c r="M447" s="15" t="str">
        <f>"'Measure SI-111 output of thermopile.  VoltDiff(Dest, Reps, Range, DiffChan, RevDiff, SettlingTime, Integ, Mult, Offset)"</f>
        <v>'Measure SI-111 output of thermopile.  VoltDiff(Dest, Reps, Range, DiffChan, RevDiff, SettlingTime, Integ, Mult, Offset)</v>
      </c>
      <c r="N447" s="15"/>
      <c r="O447" s="15"/>
    </row>
    <row r="448" spans="1:15" x14ac:dyDescent="0.25">
      <c r="A448" t="str">
        <f>"VoltDiff(TTmV("</f>
        <v>VoltDiff(TTmV(</v>
      </c>
      <c r="B448">
        <f>B443</f>
        <v>12</v>
      </c>
      <c r="C448" t="s">
        <v>131</v>
      </c>
      <c r="D448">
        <f>MUX1DiffChannel</f>
        <v>1</v>
      </c>
      <c r="E448" t="s">
        <v>132</v>
      </c>
      <c r="I448" s="15"/>
      <c r="J448" s="15"/>
      <c r="K448" s="15"/>
      <c r="L448" s="15"/>
      <c r="M448" s="15" t="str">
        <f>CONCATENATE(A448,B448,C448,D448,E448)</f>
        <v>VoltDiff(TTmV(12),1,mV2_5,1,True,0,_60Hz,1,0,)</v>
      </c>
      <c r="N448" s="15"/>
      <c r="O448" s="15"/>
    </row>
    <row r="449" spans="1:15" x14ac:dyDescent="0.25">
      <c r="B449" s="7">
        <v>6</v>
      </c>
      <c r="D449" s="7">
        <v>7</v>
      </c>
      <c r="F449" s="7">
        <v>8</v>
      </c>
      <c r="I449" s="15"/>
      <c r="J449" s="15"/>
      <c r="K449" s="15"/>
      <c r="L449" s="15"/>
      <c r="M449" s="15" t="s">
        <v>15</v>
      </c>
      <c r="N449" s="15"/>
      <c r="O449" s="15"/>
    </row>
    <row r="450" spans="1:15" x14ac:dyDescent="0.25">
      <c r="A450" t="str">
        <f>CONCATENATE("m","(",B443,")=")</f>
        <v>m(12)=</v>
      </c>
      <c r="B450">
        <f>VLOOKUP($C443,SensorCoeffs,B449,FALSE)</f>
        <v>1331080000</v>
      </c>
      <c r="C450" t="str">
        <f>"+("</f>
        <v>+(</v>
      </c>
      <c r="D450">
        <f>VLOOKUP($C443,SensorCoeffs,D449,FALSE)</f>
        <v>6996190</v>
      </c>
      <c r="E450" t="str">
        <f>CONCATENATE("*SBT_C","(",B443,")",")+(")</f>
        <v>*SBT_C(12))+(</v>
      </c>
      <c r="F450">
        <f>VLOOKUP($C443,SensorCoeffs,F449,FALSE)</f>
        <v>72127.399999999994</v>
      </c>
      <c r="G450" t="str">
        <f>CONCATENATE("*SBT_C","(",B443,")^2)")</f>
        <v>*SBT_C(12)^2)</v>
      </c>
      <c r="I450" s="15"/>
      <c r="J450" s="15"/>
      <c r="K450" s="15"/>
      <c r="L450" s="15"/>
      <c r="M450" s="15" t="str">
        <f>CONCATENATE(A450,B450,C450,D450,E450,F450,G450)</f>
        <v>m(12)=1331080000+(6996190*SBT_C(12))+(72127.4*SBT_C(12)^2)</v>
      </c>
      <c r="N450" s="15"/>
      <c r="O450" s="15"/>
    </row>
    <row r="451" spans="1:15" x14ac:dyDescent="0.25">
      <c r="A451" t="str">
        <f>CONCATENATE("b","(",B443,")=")</f>
        <v>b(12)=</v>
      </c>
      <c r="B451">
        <f>VLOOKUP($C443,SensorCoeffs,B449+3,FALSE)</f>
        <v>-8744260</v>
      </c>
      <c r="C451" t="str">
        <f>"+("</f>
        <v>+(</v>
      </c>
      <c r="D451">
        <f>VLOOKUP($C443,SensorCoeffs,D449+3,FALSE)</f>
        <v>-40772.5</v>
      </c>
      <c r="E451" t="str">
        <f>CONCATENATE("*SBT_C","(",B443,")",")+(")</f>
        <v>*SBT_C(12))+(</v>
      </c>
      <c r="F451">
        <f>VLOOKUP($C443,SensorCoeffs,F449+3,FALSE)</f>
        <v>14361</v>
      </c>
      <c r="G451" t="str">
        <f>CONCATENATE("*SBT_C","(",B443,")^2)")</f>
        <v>*SBT_C(12)^2)</v>
      </c>
      <c r="I451" s="15"/>
      <c r="J451" s="15"/>
      <c r="K451" s="15"/>
      <c r="L451" s="15"/>
      <c r="M451" s="15" t="str">
        <f>CONCATENATE(A451,B451,C451,D451,E451,F451,G451)</f>
        <v>b(12)=-8744260+(-40772.5*SBT_C(12))+(14361*SBT_C(12)^2)</v>
      </c>
      <c r="N451" s="15"/>
      <c r="O451" s="15"/>
    </row>
    <row r="452" spans="1:15" x14ac:dyDescent="0.25">
      <c r="I452" s="15"/>
      <c r="J452" s="15"/>
      <c r="K452" s="15"/>
      <c r="L452" s="15"/>
      <c r="M452" s="15" t="s">
        <v>16</v>
      </c>
      <c r="N452" s="15"/>
      <c r="O452" s="15"/>
    </row>
    <row r="453" spans="1:15" x14ac:dyDescent="0.25">
      <c r="A453" t="str">
        <f>"SBT_K("</f>
        <v>SBT_K(</v>
      </c>
      <c r="B453">
        <f>B443</f>
        <v>12</v>
      </c>
      <c r="C453" t="str">
        <f>")=SBT_C("</f>
        <v>)=SBT_C(</v>
      </c>
      <c r="D453">
        <f>B443</f>
        <v>12</v>
      </c>
      <c r="E453" t="s">
        <v>49</v>
      </c>
      <c r="I453" s="15"/>
      <c r="J453" s="15"/>
      <c r="K453" s="15"/>
      <c r="L453" s="15"/>
      <c r="M453" s="15" t="str">
        <f>CONCATENATE(A453,B453,C453,D453,E453)</f>
        <v>SBT_K(12)=SBT_C(12)+273.15</v>
      </c>
      <c r="N453" s="15"/>
      <c r="O453" s="15"/>
    </row>
    <row r="454" spans="1:15" x14ac:dyDescent="0.25">
      <c r="A454" t="str">
        <f>"TT_K("</f>
        <v>TT_K(</v>
      </c>
      <c r="B454">
        <f>B443</f>
        <v>12</v>
      </c>
      <c r="C454" t="str">
        <f>")=SBT_K("</f>
        <v>)=SBT_K(</v>
      </c>
      <c r="D454">
        <f>B443</f>
        <v>12</v>
      </c>
      <c r="E454" t="str">
        <f>CONCATENATE(")^4+TTmV","(",B443,")")</f>
        <v>)^4+TTmV(12)</v>
      </c>
      <c r="F454" t="str">
        <f>CONCATENATE("*m","(",B443,")")</f>
        <v>*m(12)</v>
      </c>
      <c r="G454" t="str">
        <f>CONCATENATE("+b","(",B443,")")</f>
        <v>+b(12)</v>
      </c>
      <c r="I454" s="15"/>
      <c r="J454" s="15"/>
      <c r="K454" s="15"/>
      <c r="L454" s="15"/>
      <c r="M454" s="15" t="str">
        <f>CONCATENATE(A454,B454,C454,D454,E454,F454,G454)</f>
        <v>TT_K(12)=SBT_K(12)^4+TTmV(12)*m(12)+b(12)</v>
      </c>
      <c r="N454" s="15"/>
      <c r="O454" s="15"/>
    </row>
    <row r="455" spans="1:15" x14ac:dyDescent="0.25">
      <c r="A455" t="str">
        <f>CONCATENATE("TT_K(")</f>
        <v>TT_K(</v>
      </c>
      <c r="B455">
        <f>B443</f>
        <v>12</v>
      </c>
      <c r="C455" t="str">
        <f>")=SQR(SQR(TT_K("</f>
        <v>)=SQR(SQR(TT_K(</v>
      </c>
      <c r="D455">
        <f>B443</f>
        <v>12</v>
      </c>
      <c r="E455" t="s">
        <v>80</v>
      </c>
      <c r="I455" s="15"/>
      <c r="J455" s="15"/>
      <c r="K455" s="15"/>
      <c r="L455" s="15"/>
      <c r="M455" s="15" t="str">
        <f>CONCATENATE(A455,B455,C455,D455,E455)</f>
        <v>TT_K(12)=SQR(SQR(TT_K(12)))</v>
      </c>
      <c r="N455" s="15"/>
      <c r="O455" s="15"/>
    </row>
    <row r="456" spans="1:15" x14ac:dyDescent="0.25">
      <c r="I456" s="15"/>
      <c r="J456" s="15"/>
      <c r="K456" s="15"/>
      <c r="L456" s="15"/>
      <c r="M456" s="15" t="s">
        <v>17</v>
      </c>
      <c r="N456" s="15"/>
      <c r="O456" s="15"/>
    </row>
    <row r="457" spans="1:15" x14ac:dyDescent="0.25">
      <c r="A457" t="str">
        <f>"TT_C("</f>
        <v>TT_C(</v>
      </c>
      <c r="B457">
        <f>B443</f>
        <v>12</v>
      </c>
      <c r="C457" t="str">
        <f>")=TT_K("</f>
        <v>)=TT_K(</v>
      </c>
      <c r="D457">
        <f>B443</f>
        <v>12</v>
      </c>
      <c r="E457" t="s">
        <v>52</v>
      </c>
      <c r="I457" s="15"/>
      <c r="J457" s="15"/>
      <c r="K457" s="15"/>
      <c r="L457" s="15"/>
      <c r="M457" s="15" t="str">
        <f>CONCATENATE(A457,B457,C457,D457,E457)</f>
        <v>TT_C(12)=TT_K(12)-273.15</v>
      </c>
      <c r="N457" s="15"/>
      <c r="O457" s="15"/>
    </row>
    <row r="458" spans="1:15" ht="15.75" thickBot="1" x14ac:dyDescent="0.3">
      <c r="A458" s="1" t="s">
        <v>200</v>
      </c>
      <c r="B458" s="1" t="s">
        <v>34</v>
      </c>
      <c r="C458" s="1" t="s">
        <v>35</v>
      </c>
      <c r="D458" s="1"/>
      <c r="E458" s="1"/>
      <c r="F458" s="1"/>
      <c r="G458" s="1"/>
      <c r="I458" s="15"/>
      <c r="J458" s="15"/>
      <c r="K458" s="15"/>
      <c r="L458" s="17" t="str">
        <f>"'Switch on next AM416 Multiplexer channel.  PulsePort(DataLogger channel C#, Delay)"</f>
        <v>'Switch on next AM416 Multiplexer channel.  PulsePort(DataLogger channel C#, Delay)</v>
      </c>
      <c r="M458" s="15"/>
      <c r="N458" s="15"/>
      <c r="O458" s="15"/>
    </row>
    <row r="459" spans="1:15" ht="16.5" thickBot="1" x14ac:dyDescent="0.3">
      <c r="A459" s="5">
        <f>A443</f>
        <v>1</v>
      </c>
      <c r="B459" s="5">
        <f>B443+1</f>
        <v>13</v>
      </c>
      <c r="C459" s="6">
        <f>C443+1</f>
        <v>13</v>
      </c>
      <c r="D459" s="84" t="s">
        <v>243</v>
      </c>
      <c r="E459" s="85"/>
      <c r="F459" s="85"/>
      <c r="G459" s="86"/>
      <c r="I459" s="15"/>
      <c r="J459" s="15"/>
      <c r="K459" s="15"/>
      <c r="L459" s="15" t="str">
        <f>"PulsePort("&amp;ClockComChannel&amp;",10000)"</f>
        <v>PulsePort(1,10000)</v>
      </c>
      <c r="M459" s="15"/>
      <c r="N459" s="15"/>
      <c r="O459" s="15"/>
    </row>
    <row r="460" spans="1:15" x14ac:dyDescent="0.25">
      <c r="I460" s="15"/>
      <c r="J460" s="15"/>
      <c r="K460" s="15"/>
      <c r="L460" s="15"/>
      <c r="M460" s="15" t="s">
        <v>22</v>
      </c>
      <c r="N460" s="15"/>
      <c r="O460" s="15"/>
    </row>
    <row r="461" spans="1:15" x14ac:dyDescent="0.25">
      <c r="I461" s="15"/>
      <c r="J461" s="15"/>
      <c r="K461" s="15"/>
      <c r="L461" s="15"/>
      <c r="M461" s="15" t="str">
        <f>"'Measure SI-111 sensor body thermistor temperature.  Therm109 (Dest, Reps, SEChan, VX/ExChan, SettlingTime, Integ, Mult, Offset)"</f>
        <v>'Measure SI-111 sensor body thermistor temperature.  Therm109 (Dest, Reps, SEChan, VX/ExChan, SettlingTime, Integ, Mult, Offset)</v>
      </c>
      <c r="N461" s="15"/>
      <c r="O461" s="15"/>
    </row>
    <row r="462" spans="1:15" x14ac:dyDescent="0.25">
      <c r="A462" t="str">
        <f>"Therm109(SBT_C("</f>
        <v>Therm109(SBT_C(</v>
      </c>
      <c r="B462">
        <f>B459</f>
        <v>13</v>
      </c>
      <c r="C462" t="s">
        <v>130</v>
      </c>
      <c r="D462">
        <f>MUX1SEChannel</f>
        <v>3</v>
      </c>
      <c r="E462" t="s">
        <v>46</v>
      </c>
      <c r="F462" t="str">
        <f>"VX"&amp;MUX1VXChannel</f>
        <v>VX2</v>
      </c>
      <c r="G462" t="s">
        <v>133</v>
      </c>
      <c r="I462" s="15"/>
      <c r="J462" s="15"/>
      <c r="K462" s="15"/>
      <c r="L462" s="15"/>
      <c r="M462" s="15" t="str">
        <f>CONCATENATE(A462,B462,C462,D462,E462,F462,G462)</f>
        <v>Therm109(SBT_C(13),1,3,VX2,0,_60Hz,1,0)</v>
      </c>
      <c r="N462" s="15"/>
      <c r="O462" s="15"/>
    </row>
    <row r="463" spans="1:15" x14ac:dyDescent="0.25">
      <c r="I463" s="15"/>
      <c r="J463" s="15"/>
      <c r="K463" s="15"/>
      <c r="L463" s="15"/>
      <c r="M463" s="15" t="str">
        <f>"'Measure SI-111 output of thermopile.  VoltDiff(Dest, Reps, Range, DiffChan, RevDiff, SettlingTime, Integ, Mult, Offset)"</f>
        <v>'Measure SI-111 output of thermopile.  VoltDiff(Dest, Reps, Range, DiffChan, RevDiff, SettlingTime, Integ, Mult, Offset)</v>
      </c>
      <c r="N463" s="15"/>
      <c r="O463" s="15"/>
    </row>
    <row r="464" spans="1:15" x14ac:dyDescent="0.25">
      <c r="A464" t="str">
        <f>"VoltDiff(TTmV("</f>
        <v>VoltDiff(TTmV(</v>
      </c>
      <c r="B464">
        <f>B459</f>
        <v>13</v>
      </c>
      <c r="C464" t="s">
        <v>131</v>
      </c>
      <c r="D464">
        <f>MUX1DiffChannel</f>
        <v>1</v>
      </c>
      <c r="E464" t="s">
        <v>132</v>
      </c>
      <c r="I464" s="15"/>
      <c r="J464" s="15"/>
      <c r="K464" s="15"/>
      <c r="L464" s="15"/>
      <c r="M464" s="15" t="str">
        <f>CONCATENATE(A464,B464,C464,D464,E464)</f>
        <v>VoltDiff(TTmV(13),1,mV2_5,1,True,0,_60Hz,1,0,)</v>
      </c>
      <c r="N464" s="15"/>
      <c r="O464" s="15"/>
    </row>
    <row r="465" spans="1:15" x14ac:dyDescent="0.25">
      <c r="B465" s="7">
        <v>6</v>
      </c>
      <c r="D465" s="7">
        <v>7</v>
      </c>
      <c r="F465" s="7">
        <v>8</v>
      </c>
      <c r="I465" s="15"/>
      <c r="J465" s="15"/>
      <c r="K465" s="15"/>
      <c r="L465" s="15"/>
      <c r="M465" s="15" t="s">
        <v>15</v>
      </c>
      <c r="N465" s="15"/>
      <c r="O465" s="15"/>
    </row>
    <row r="466" spans="1:15" x14ac:dyDescent="0.25">
      <c r="A466" t="str">
        <f>CONCATENATE("m","(",B459,")=")</f>
        <v>m(13)=</v>
      </c>
      <c r="B466">
        <f>VLOOKUP($C459,SensorCoeffs,B465,FALSE)</f>
        <v>1395890000</v>
      </c>
      <c r="C466" t="str">
        <f>"+("</f>
        <v>+(</v>
      </c>
      <c r="D466">
        <f>VLOOKUP($C459,SensorCoeffs,D465,FALSE)</f>
        <v>7277220</v>
      </c>
      <c r="E466" t="str">
        <f>CONCATENATE("*SBT_C","(",B459,")",")+(")</f>
        <v>*SBT_C(13))+(</v>
      </c>
      <c r="F466">
        <f>VLOOKUP($C459,SensorCoeffs,F465,FALSE)</f>
        <v>75992</v>
      </c>
      <c r="G466" t="str">
        <f>CONCATENATE("*SBT_C","(",B459,")^2)")</f>
        <v>*SBT_C(13)^2)</v>
      </c>
      <c r="I466" s="15"/>
      <c r="J466" s="15"/>
      <c r="K466" s="15"/>
      <c r="L466" s="15"/>
      <c r="M466" s="15" t="str">
        <f>CONCATENATE(A466,B466,C466,D466,E466,F466,G466)</f>
        <v>m(13)=1395890000+(7277220*SBT_C(13))+(75992*SBT_C(13)^2)</v>
      </c>
      <c r="N466" s="15"/>
      <c r="O466" s="15"/>
    </row>
    <row r="467" spans="1:15" x14ac:dyDescent="0.25">
      <c r="A467" t="str">
        <f>CONCATENATE("b","(",B459,")=")</f>
        <v>b(13)=</v>
      </c>
      <c r="B467">
        <f>VLOOKUP($C459,SensorCoeffs,B465+3,FALSE)</f>
        <v>-2662950</v>
      </c>
      <c r="C467" t="str">
        <f>"+("</f>
        <v>+(</v>
      </c>
      <c r="D467">
        <f>VLOOKUP($C459,SensorCoeffs,D465+3,FALSE)</f>
        <v>-9950.6299999999992</v>
      </c>
      <c r="E467" t="str">
        <f>CONCATENATE("*SBT_C","(",B459,")",")+(")</f>
        <v>*SBT_C(13))+(</v>
      </c>
      <c r="F467">
        <f>VLOOKUP($C459,SensorCoeffs,F465+3,FALSE)</f>
        <v>13555.7</v>
      </c>
      <c r="G467" t="str">
        <f>CONCATENATE("*SBT_C","(",B459,")^2)")</f>
        <v>*SBT_C(13)^2)</v>
      </c>
      <c r="I467" s="15"/>
      <c r="J467" s="15"/>
      <c r="K467" s="15"/>
      <c r="L467" s="15"/>
      <c r="M467" s="15" t="str">
        <f>CONCATENATE(A467,B467,C467,D467,E467,F467,G467)</f>
        <v>b(13)=-2662950+(-9950.63*SBT_C(13))+(13555.7*SBT_C(13)^2)</v>
      </c>
      <c r="N467" s="15"/>
      <c r="O467" s="15"/>
    </row>
    <row r="468" spans="1:15" x14ac:dyDescent="0.25">
      <c r="I468" s="15"/>
      <c r="J468" s="15"/>
      <c r="K468" s="15"/>
      <c r="L468" s="15"/>
      <c r="M468" s="15" t="s">
        <v>16</v>
      </c>
      <c r="N468" s="15"/>
      <c r="O468" s="15"/>
    </row>
    <row r="469" spans="1:15" x14ac:dyDescent="0.25">
      <c r="A469" t="str">
        <f>"SBT_K("</f>
        <v>SBT_K(</v>
      </c>
      <c r="B469">
        <f>B459</f>
        <v>13</v>
      </c>
      <c r="C469" t="str">
        <f>")=SBT_C("</f>
        <v>)=SBT_C(</v>
      </c>
      <c r="D469">
        <f>B459</f>
        <v>13</v>
      </c>
      <c r="E469" t="s">
        <v>49</v>
      </c>
      <c r="I469" s="15"/>
      <c r="J469" s="15"/>
      <c r="K469" s="15"/>
      <c r="L469" s="15"/>
      <c r="M469" s="15" t="str">
        <f>CONCATENATE(A469,B469,C469,D469,E469)</f>
        <v>SBT_K(13)=SBT_C(13)+273.15</v>
      </c>
      <c r="N469" s="15"/>
      <c r="O469" s="15"/>
    </row>
    <row r="470" spans="1:15" x14ac:dyDescent="0.25">
      <c r="A470" t="str">
        <f>"TT_K("</f>
        <v>TT_K(</v>
      </c>
      <c r="B470">
        <f>B459</f>
        <v>13</v>
      </c>
      <c r="C470" t="str">
        <f>")=SBT_K("</f>
        <v>)=SBT_K(</v>
      </c>
      <c r="D470">
        <f>B459</f>
        <v>13</v>
      </c>
      <c r="E470" t="str">
        <f>CONCATENATE(")^4+TTmV","(",B459,")")</f>
        <v>)^4+TTmV(13)</v>
      </c>
      <c r="F470" t="str">
        <f>CONCATENATE("*m","(",B459,")")</f>
        <v>*m(13)</v>
      </c>
      <c r="G470" t="str">
        <f>CONCATENATE("+b","(",B459,")")</f>
        <v>+b(13)</v>
      </c>
      <c r="I470" s="15"/>
      <c r="J470" s="15"/>
      <c r="K470" s="15"/>
      <c r="L470" s="15"/>
      <c r="M470" s="15" t="str">
        <f>CONCATENATE(A470,B470,C470,D470,E470,F470,G470)</f>
        <v>TT_K(13)=SBT_K(13)^4+TTmV(13)*m(13)+b(13)</v>
      </c>
      <c r="N470" s="15"/>
      <c r="O470" s="15"/>
    </row>
    <row r="471" spans="1:15" x14ac:dyDescent="0.25">
      <c r="A471" t="str">
        <f>CONCATENATE("TT_K(")</f>
        <v>TT_K(</v>
      </c>
      <c r="B471">
        <f>B459</f>
        <v>13</v>
      </c>
      <c r="C471" t="str">
        <f>")=SQR(SQR(TT_K("</f>
        <v>)=SQR(SQR(TT_K(</v>
      </c>
      <c r="D471">
        <f>B459</f>
        <v>13</v>
      </c>
      <c r="E471" t="s">
        <v>80</v>
      </c>
      <c r="I471" s="15"/>
      <c r="J471" s="15"/>
      <c r="K471" s="15"/>
      <c r="L471" s="15"/>
      <c r="M471" s="15" t="str">
        <f>CONCATENATE(A471,B471,C471,D471,E471)</f>
        <v>TT_K(13)=SQR(SQR(TT_K(13)))</v>
      </c>
      <c r="N471" s="15"/>
      <c r="O471" s="15"/>
    </row>
    <row r="472" spans="1:15" x14ac:dyDescent="0.25">
      <c r="I472" s="15"/>
      <c r="J472" s="15"/>
      <c r="K472" s="15"/>
      <c r="L472" s="15"/>
      <c r="M472" s="15" t="s">
        <v>17</v>
      </c>
      <c r="N472" s="15"/>
      <c r="O472" s="15"/>
    </row>
    <row r="473" spans="1:15" x14ac:dyDescent="0.25">
      <c r="A473" t="str">
        <f>"TT_C("</f>
        <v>TT_C(</v>
      </c>
      <c r="B473">
        <f>B459</f>
        <v>13</v>
      </c>
      <c r="C473" t="str">
        <f>")=TT_K("</f>
        <v>)=TT_K(</v>
      </c>
      <c r="D473">
        <f>B459</f>
        <v>13</v>
      </c>
      <c r="E473" t="s">
        <v>52</v>
      </c>
      <c r="I473" s="15"/>
      <c r="J473" s="15"/>
      <c r="K473" s="15"/>
      <c r="L473" s="15"/>
      <c r="M473" s="15" t="str">
        <f>CONCATENATE(A473,B473,C473,D473,E473)</f>
        <v>TT_C(13)=TT_K(13)-273.15</v>
      </c>
      <c r="N473" s="15"/>
      <c r="O473" s="15"/>
    </row>
    <row r="474" spans="1:15" ht="15.75" thickBot="1" x14ac:dyDescent="0.3">
      <c r="A474" s="1" t="s">
        <v>200</v>
      </c>
      <c r="B474" s="1" t="s">
        <v>34</v>
      </c>
      <c r="C474" s="1" t="s">
        <v>35</v>
      </c>
      <c r="D474" s="1"/>
      <c r="E474" s="1"/>
      <c r="F474" s="1"/>
      <c r="G474" s="1"/>
      <c r="I474" s="15"/>
      <c r="J474" s="15"/>
      <c r="K474" s="15"/>
      <c r="L474" s="17" t="str">
        <f>"'Switch on next AM416 Multiplexer channel.  PulsePort(DataLogger channel C#, Delay)"</f>
        <v>'Switch on next AM416 Multiplexer channel.  PulsePort(DataLogger channel C#, Delay)</v>
      </c>
      <c r="M474" s="15"/>
      <c r="N474" s="15"/>
      <c r="O474" s="15"/>
    </row>
    <row r="475" spans="1:15" ht="16.5" thickBot="1" x14ac:dyDescent="0.3">
      <c r="A475" s="5">
        <f>A459</f>
        <v>1</v>
      </c>
      <c r="B475" s="5">
        <f>B459+1</f>
        <v>14</v>
      </c>
      <c r="C475" s="6">
        <f>C459+1</f>
        <v>14</v>
      </c>
      <c r="D475" s="84" t="s">
        <v>243</v>
      </c>
      <c r="E475" s="85"/>
      <c r="F475" s="85"/>
      <c r="G475" s="86"/>
      <c r="I475" s="15"/>
      <c r="J475" s="15"/>
      <c r="K475" s="15"/>
      <c r="L475" s="15" t="str">
        <f>"PulsePort("&amp;ClockComChannel&amp;",10000)"</f>
        <v>PulsePort(1,10000)</v>
      </c>
      <c r="M475" s="15"/>
      <c r="N475" s="15"/>
      <c r="O475" s="15"/>
    </row>
    <row r="476" spans="1:15" x14ac:dyDescent="0.25">
      <c r="I476" s="15"/>
      <c r="J476" s="15"/>
      <c r="K476" s="15"/>
      <c r="L476" s="15"/>
      <c r="M476" s="15" t="s">
        <v>22</v>
      </c>
      <c r="N476" s="15"/>
      <c r="O476" s="15"/>
    </row>
    <row r="477" spans="1:15" x14ac:dyDescent="0.25">
      <c r="I477" s="15"/>
      <c r="J477" s="15"/>
      <c r="K477" s="15"/>
      <c r="L477" s="15"/>
      <c r="M477" s="15" t="str">
        <f>"'Measure SI-111 sensor body thermistor temperature.  Therm109 (Dest, Reps, SEChan, VX/ExChan, SettlingTime, Integ, Mult, Offset)"</f>
        <v>'Measure SI-111 sensor body thermistor temperature.  Therm109 (Dest, Reps, SEChan, VX/ExChan, SettlingTime, Integ, Mult, Offset)</v>
      </c>
      <c r="N477" s="15"/>
      <c r="O477" s="15"/>
    </row>
    <row r="478" spans="1:15" x14ac:dyDescent="0.25">
      <c r="A478" t="str">
        <f>"Therm109(SBT_C("</f>
        <v>Therm109(SBT_C(</v>
      </c>
      <c r="B478">
        <f>B475</f>
        <v>14</v>
      </c>
      <c r="C478" t="s">
        <v>130</v>
      </c>
      <c r="D478">
        <f>MUX1SEChannel</f>
        <v>3</v>
      </c>
      <c r="E478" t="s">
        <v>46</v>
      </c>
      <c r="F478" t="str">
        <f>"VX"&amp;MUX1VXChannel</f>
        <v>VX2</v>
      </c>
      <c r="G478" t="s">
        <v>133</v>
      </c>
      <c r="I478" s="15"/>
      <c r="J478" s="15"/>
      <c r="K478" s="15"/>
      <c r="L478" s="15"/>
      <c r="M478" s="15" t="str">
        <f>CONCATENATE(A478,B478,C478,D478,E478,F478,G478)</f>
        <v>Therm109(SBT_C(14),1,3,VX2,0,_60Hz,1,0)</v>
      </c>
      <c r="N478" s="15"/>
      <c r="O478" s="15"/>
    </row>
    <row r="479" spans="1:15" x14ac:dyDescent="0.25">
      <c r="I479" s="15"/>
      <c r="J479" s="15"/>
      <c r="K479" s="15"/>
      <c r="L479" s="15"/>
      <c r="M479" s="15" t="str">
        <f>"'Measure SI-111 output of thermopile.  VoltDiff(Dest, Reps, Range, DiffChan, RevDiff, SettlingTime, Integ, Mult, Offset)"</f>
        <v>'Measure SI-111 output of thermopile.  VoltDiff(Dest, Reps, Range, DiffChan, RevDiff, SettlingTime, Integ, Mult, Offset)</v>
      </c>
      <c r="N479" s="15"/>
      <c r="O479" s="15"/>
    </row>
    <row r="480" spans="1:15" x14ac:dyDescent="0.25">
      <c r="A480" t="str">
        <f>"VoltDiff(TTmV("</f>
        <v>VoltDiff(TTmV(</v>
      </c>
      <c r="B480">
        <f>B475</f>
        <v>14</v>
      </c>
      <c r="C480" t="s">
        <v>131</v>
      </c>
      <c r="D480">
        <f>MUX1DiffChannel</f>
        <v>1</v>
      </c>
      <c r="E480" t="s">
        <v>132</v>
      </c>
      <c r="I480" s="15"/>
      <c r="J480" s="15"/>
      <c r="K480" s="15"/>
      <c r="L480" s="15"/>
      <c r="M480" s="15" t="str">
        <f>CONCATENATE(A480,B480,C480,D480,E480)</f>
        <v>VoltDiff(TTmV(14),1,mV2_5,1,True,0,_60Hz,1,0,)</v>
      </c>
      <c r="N480" s="15"/>
      <c r="O480" s="15"/>
    </row>
    <row r="481" spans="1:15" x14ac:dyDescent="0.25">
      <c r="B481" s="7">
        <v>6</v>
      </c>
      <c r="D481" s="7">
        <v>7</v>
      </c>
      <c r="F481" s="7">
        <v>8</v>
      </c>
      <c r="I481" s="15"/>
      <c r="J481" s="15"/>
      <c r="K481" s="15"/>
      <c r="L481" s="15"/>
      <c r="M481" s="15" t="s">
        <v>15</v>
      </c>
      <c r="N481" s="15"/>
      <c r="O481" s="15"/>
    </row>
    <row r="482" spans="1:15" x14ac:dyDescent="0.25">
      <c r="A482" t="str">
        <f>CONCATENATE("m","(",B475,")=")</f>
        <v>m(14)=</v>
      </c>
      <c r="B482">
        <f>VLOOKUP($C475,SensorCoeffs,B481,FALSE)</f>
        <v>1373910000</v>
      </c>
      <c r="C482" t="str">
        <f>"+("</f>
        <v>+(</v>
      </c>
      <c r="D482">
        <f>VLOOKUP($C475,SensorCoeffs,D481,FALSE)</f>
        <v>7204930</v>
      </c>
      <c r="E482" t="str">
        <f>CONCATENATE("*SBT_C","(",B475,")",")+(")</f>
        <v>*SBT_C(14))+(</v>
      </c>
      <c r="F482">
        <f>VLOOKUP($C475,SensorCoeffs,F481,FALSE)</f>
        <v>71235.399999999994</v>
      </c>
      <c r="G482" t="str">
        <f>CONCATENATE("*SBT_C","(",B475,")^2)")</f>
        <v>*SBT_C(14)^2)</v>
      </c>
      <c r="I482" s="15"/>
      <c r="J482" s="15"/>
      <c r="K482" s="15"/>
      <c r="L482" s="15"/>
      <c r="M482" s="15" t="str">
        <f>CONCATENATE(A482,B482,C482,D482,E482,F482,G482)</f>
        <v>m(14)=1373910000+(7204930*SBT_C(14))+(71235.4*SBT_C(14)^2)</v>
      </c>
      <c r="N482" s="15"/>
      <c r="O482" s="15"/>
    </row>
    <row r="483" spans="1:15" x14ac:dyDescent="0.25">
      <c r="A483" t="str">
        <f>CONCATENATE("b","(",B475,")=")</f>
        <v>b(14)=</v>
      </c>
      <c r="B483">
        <f>VLOOKUP($C475,SensorCoeffs,B481+3,FALSE)</f>
        <v>2801350</v>
      </c>
      <c r="C483" t="str">
        <f>"+("</f>
        <v>+(</v>
      </c>
      <c r="D483">
        <f>VLOOKUP($C475,SensorCoeffs,D481+3,FALSE)</f>
        <v>-42316.6</v>
      </c>
      <c r="E483" t="str">
        <f>CONCATENATE("*SBT_C","(",B475,")",")+(")</f>
        <v>*SBT_C(14))+(</v>
      </c>
      <c r="F483">
        <f>VLOOKUP($C475,SensorCoeffs,F481+3,FALSE)</f>
        <v>14731.4</v>
      </c>
      <c r="G483" t="str">
        <f>CONCATENATE("*SBT_C","(",B475,")^2)")</f>
        <v>*SBT_C(14)^2)</v>
      </c>
      <c r="I483" s="15"/>
      <c r="J483" s="15"/>
      <c r="K483" s="15"/>
      <c r="L483" s="15"/>
      <c r="M483" s="15" t="str">
        <f>CONCATENATE(A483,B483,C483,D483,E483,F483,G483)</f>
        <v>b(14)=2801350+(-42316.6*SBT_C(14))+(14731.4*SBT_C(14)^2)</v>
      </c>
      <c r="N483" s="15"/>
      <c r="O483" s="15"/>
    </row>
    <row r="484" spans="1:15" x14ac:dyDescent="0.25">
      <c r="I484" s="15"/>
      <c r="J484" s="15"/>
      <c r="K484" s="15"/>
      <c r="L484" s="15"/>
      <c r="M484" s="15" t="s">
        <v>16</v>
      </c>
      <c r="N484" s="15"/>
      <c r="O484" s="15"/>
    </row>
    <row r="485" spans="1:15" x14ac:dyDescent="0.25">
      <c r="A485" t="str">
        <f>"SBT_K("</f>
        <v>SBT_K(</v>
      </c>
      <c r="B485">
        <f>B475</f>
        <v>14</v>
      </c>
      <c r="C485" t="str">
        <f>")=SBT_C("</f>
        <v>)=SBT_C(</v>
      </c>
      <c r="D485">
        <f>B475</f>
        <v>14</v>
      </c>
      <c r="E485" t="s">
        <v>49</v>
      </c>
      <c r="I485" s="15"/>
      <c r="J485" s="15"/>
      <c r="K485" s="15"/>
      <c r="L485" s="15"/>
      <c r="M485" s="15" t="str">
        <f>CONCATENATE(A485,B485,C485,D485,E485)</f>
        <v>SBT_K(14)=SBT_C(14)+273.15</v>
      </c>
      <c r="N485" s="15"/>
      <c r="O485" s="15"/>
    </row>
    <row r="486" spans="1:15" x14ac:dyDescent="0.25">
      <c r="A486" t="str">
        <f>"TT_K("</f>
        <v>TT_K(</v>
      </c>
      <c r="B486">
        <f>B475</f>
        <v>14</v>
      </c>
      <c r="C486" t="str">
        <f>")=SBT_K("</f>
        <v>)=SBT_K(</v>
      </c>
      <c r="D486">
        <f>B475</f>
        <v>14</v>
      </c>
      <c r="E486" t="str">
        <f>CONCATENATE(")^4+TTmV","(",B475,")")</f>
        <v>)^4+TTmV(14)</v>
      </c>
      <c r="F486" t="str">
        <f>CONCATENATE("*m","(",B475,")")</f>
        <v>*m(14)</v>
      </c>
      <c r="G486" t="str">
        <f>CONCATENATE("+b","(",B475,")")</f>
        <v>+b(14)</v>
      </c>
      <c r="I486" s="15"/>
      <c r="J486" s="15"/>
      <c r="K486" s="15"/>
      <c r="L486" s="15"/>
      <c r="M486" s="15" t="str">
        <f>CONCATENATE(A486,B486,C486,D486,E486,F486,G486)</f>
        <v>TT_K(14)=SBT_K(14)^4+TTmV(14)*m(14)+b(14)</v>
      </c>
      <c r="N486" s="15"/>
      <c r="O486" s="15"/>
    </row>
    <row r="487" spans="1:15" x14ac:dyDescent="0.25">
      <c r="A487" t="str">
        <f>CONCATENATE("TT_K(")</f>
        <v>TT_K(</v>
      </c>
      <c r="B487">
        <f>B475</f>
        <v>14</v>
      </c>
      <c r="C487" t="str">
        <f>")=SQR(SQR(TT_K("</f>
        <v>)=SQR(SQR(TT_K(</v>
      </c>
      <c r="D487">
        <f>B475</f>
        <v>14</v>
      </c>
      <c r="E487" t="s">
        <v>80</v>
      </c>
      <c r="I487" s="15"/>
      <c r="J487" s="15"/>
      <c r="K487" s="15"/>
      <c r="L487" s="15"/>
      <c r="M487" s="15" t="str">
        <f>CONCATENATE(A487,B487,C487,D487,E487)</f>
        <v>TT_K(14)=SQR(SQR(TT_K(14)))</v>
      </c>
      <c r="N487" s="15"/>
      <c r="O487" s="15"/>
    </row>
    <row r="488" spans="1:15" x14ac:dyDescent="0.25">
      <c r="I488" s="15"/>
      <c r="J488" s="15"/>
      <c r="K488" s="15"/>
      <c r="L488" s="15"/>
      <c r="M488" s="15" t="s">
        <v>17</v>
      </c>
      <c r="N488" s="15"/>
      <c r="O488" s="15"/>
    </row>
    <row r="489" spans="1:15" x14ac:dyDescent="0.25">
      <c r="A489" t="str">
        <f>"TT_C("</f>
        <v>TT_C(</v>
      </c>
      <c r="B489">
        <f>B475</f>
        <v>14</v>
      </c>
      <c r="C489" t="str">
        <f>")=TT_K("</f>
        <v>)=TT_K(</v>
      </c>
      <c r="D489">
        <f>B475</f>
        <v>14</v>
      </c>
      <c r="E489" t="s">
        <v>52</v>
      </c>
      <c r="I489" s="15"/>
      <c r="J489" s="15"/>
      <c r="K489" s="15"/>
      <c r="L489" s="15"/>
      <c r="M489" s="15" t="str">
        <f>CONCATENATE(A489,B489,C489,D489,E489)</f>
        <v>TT_C(14)=TT_K(14)-273.15</v>
      </c>
      <c r="N489" s="15"/>
      <c r="O489" s="15"/>
    </row>
    <row r="490" spans="1:15" ht="15.75" thickBot="1" x14ac:dyDescent="0.3">
      <c r="A490" s="1" t="s">
        <v>200</v>
      </c>
      <c r="B490" s="1" t="s">
        <v>34</v>
      </c>
      <c r="C490" s="1" t="s">
        <v>35</v>
      </c>
      <c r="D490" s="1"/>
      <c r="E490" s="1"/>
      <c r="F490" s="1"/>
      <c r="G490" s="1"/>
      <c r="I490" s="15"/>
      <c r="J490" s="15"/>
      <c r="K490" s="15"/>
      <c r="L490" s="17" t="str">
        <f>"'Switch on next AM416 Multiplexer channel.  PulsePort(DataLogger channel C#, Delay)"</f>
        <v>'Switch on next AM416 Multiplexer channel.  PulsePort(DataLogger channel C#, Delay)</v>
      </c>
      <c r="M490" s="15"/>
      <c r="N490" s="15"/>
      <c r="O490" s="15"/>
    </row>
    <row r="491" spans="1:15" ht="16.5" thickBot="1" x14ac:dyDescent="0.3">
      <c r="A491" s="5">
        <f>A475</f>
        <v>1</v>
      </c>
      <c r="B491" s="5">
        <f>B475+1</f>
        <v>15</v>
      </c>
      <c r="C491" s="6">
        <f>C475+1</f>
        <v>15</v>
      </c>
      <c r="D491" s="84" t="s">
        <v>243</v>
      </c>
      <c r="E491" s="85"/>
      <c r="F491" s="85"/>
      <c r="G491" s="86"/>
      <c r="I491" s="15"/>
      <c r="J491" s="15"/>
      <c r="K491" s="15"/>
      <c r="L491" s="15" t="str">
        <f>"PulsePort("&amp;ClockComChannel&amp;",10000)"</f>
        <v>PulsePort(1,10000)</v>
      </c>
      <c r="M491" s="15"/>
      <c r="N491" s="15"/>
      <c r="O491" s="15"/>
    </row>
    <row r="492" spans="1:15" x14ac:dyDescent="0.25">
      <c r="I492" s="15"/>
      <c r="J492" s="15"/>
      <c r="K492" s="15"/>
      <c r="L492" s="15"/>
      <c r="M492" s="15" t="s">
        <v>22</v>
      </c>
      <c r="N492" s="15"/>
      <c r="O492" s="15"/>
    </row>
    <row r="493" spans="1:15" x14ac:dyDescent="0.25">
      <c r="I493" s="15"/>
      <c r="J493" s="15"/>
      <c r="K493" s="15"/>
      <c r="L493" s="15"/>
      <c r="M493" s="15" t="str">
        <f>"'Measure SI-111 sensor body thermistor temperature.  Therm109 (Dest, Reps, SEChan, VX/ExChan, SettlingTime, Integ, Mult, Offset)"</f>
        <v>'Measure SI-111 sensor body thermistor temperature.  Therm109 (Dest, Reps, SEChan, VX/ExChan, SettlingTime, Integ, Mult, Offset)</v>
      </c>
      <c r="N493" s="15"/>
      <c r="O493" s="15"/>
    </row>
    <row r="494" spans="1:15" x14ac:dyDescent="0.25">
      <c r="A494" t="str">
        <f>"Therm109(SBT_C("</f>
        <v>Therm109(SBT_C(</v>
      </c>
      <c r="B494">
        <f>B491</f>
        <v>15</v>
      </c>
      <c r="C494" t="s">
        <v>130</v>
      </c>
      <c r="D494">
        <f>MUX1SEChannel</f>
        <v>3</v>
      </c>
      <c r="E494" t="s">
        <v>46</v>
      </c>
      <c r="F494" t="str">
        <f>"VX"&amp;MUX1VXChannel</f>
        <v>VX2</v>
      </c>
      <c r="G494" t="s">
        <v>133</v>
      </c>
      <c r="I494" s="15"/>
      <c r="J494" s="15"/>
      <c r="K494" s="15"/>
      <c r="L494" s="15"/>
      <c r="M494" s="15" t="str">
        <f>CONCATENATE(A494,B494,C494,D494,E494,F494,G494)</f>
        <v>Therm109(SBT_C(15),1,3,VX2,0,_60Hz,1,0)</v>
      </c>
      <c r="N494" s="15"/>
      <c r="O494" s="15"/>
    </row>
    <row r="495" spans="1:15" x14ac:dyDescent="0.25">
      <c r="I495" s="15"/>
      <c r="J495" s="15"/>
      <c r="K495" s="15"/>
      <c r="L495" s="15"/>
      <c r="M495" s="15" t="str">
        <f>"'Measure SI-111 output of thermopile.  VoltDiff(Dest, Reps, Range, DiffChan, RevDiff, SettlingTime, Integ, Mult, Offset)"</f>
        <v>'Measure SI-111 output of thermopile.  VoltDiff(Dest, Reps, Range, DiffChan, RevDiff, SettlingTime, Integ, Mult, Offset)</v>
      </c>
      <c r="N495" s="15"/>
      <c r="O495" s="15"/>
    </row>
    <row r="496" spans="1:15" x14ac:dyDescent="0.25">
      <c r="A496" t="str">
        <f>"VoltDiff(TTmV("</f>
        <v>VoltDiff(TTmV(</v>
      </c>
      <c r="B496">
        <f>B491</f>
        <v>15</v>
      </c>
      <c r="C496" t="s">
        <v>131</v>
      </c>
      <c r="D496">
        <f>MUX1DiffChannel</f>
        <v>1</v>
      </c>
      <c r="E496" t="s">
        <v>132</v>
      </c>
      <c r="I496" s="15"/>
      <c r="J496" s="15"/>
      <c r="K496" s="15"/>
      <c r="L496" s="15"/>
      <c r="M496" s="15" t="str">
        <f>CONCATENATE(A496,B496,C496,D496,E496)</f>
        <v>VoltDiff(TTmV(15),1,mV2_5,1,True,0,_60Hz,1,0,)</v>
      </c>
      <c r="N496" s="15"/>
      <c r="O496" s="15"/>
    </row>
    <row r="497" spans="1:15" x14ac:dyDescent="0.25">
      <c r="B497" s="7">
        <v>6</v>
      </c>
      <c r="D497" s="7">
        <v>7</v>
      </c>
      <c r="F497" s="7">
        <v>8</v>
      </c>
      <c r="I497" s="15"/>
      <c r="J497" s="15"/>
      <c r="K497" s="15"/>
      <c r="L497" s="15"/>
      <c r="M497" s="15" t="s">
        <v>15</v>
      </c>
      <c r="N497" s="15"/>
      <c r="O497" s="15"/>
    </row>
    <row r="498" spans="1:15" x14ac:dyDescent="0.25">
      <c r="A498" t="str">
        <f>CONCATENATE("m","(",B491,")=")</f>
        <v>m(15)=</v>
      </c>
      <c r="B498">
        <f>VLOOKUP($C491,SensorCoeffs,B497,FALSE)</f>
        <v>1410870000</v>
      </c>
      <c r="C498" t="str">
        <f>"+("</f>
        <v>+(</v>
      </c>
      <c r="D498">
        <f>VLOOKUP($C491,SensorCoeffs,D497,FALSE)</f>
        <v>7449540</v>
      </c>
      <c r="E498" t="str">
        <f>CONCATENATE("*SBT_C","(",B491,")",")+(")</f>
        <v>*SBT_C(15))+(</v>
      </c>
      <c r="F498">
        <f>VLOOKUP($C491,SensorCoeffs,F497,FALSE)</f>
        <v>77553.2</v>
      </c>
      <c r="G498" t="str">
        <f>CONCATENATE("*SBT_C","(",B491,")^2)")</f>
        <v>*SBT_C(15)^2)</v>
      </c>
      <c r="I498" s="15"/>
      <c r="J498" s="15"/>
      <c r="K498" s="15"/>
      <c r="L498" s="15"/>
      <c r="M498" s="15" t="str">
        <f>CONCATENATE(A498,B498,C498,D498,E498,F498,G498)</f>
        <v>m(15)=1410870000+(7449540*SBT_C(15))+(77553.2*SBT_C(15)^2)</v>
      </c>
      <c r="N498" s="15"/>
      <c r="O498" s="15"/>
    </row>
    <row r="499" spans="1:15" x14ac:dyDescent="0.25">
      <c r="A499" t="str">
        <f>CONCATENATE("b","(",B491,")=")</f>
        <v>b(15)=</v>
      </c>
      <c r="B499">
        <f>VLOOKUP($C491,SensorCoeffs,B497+3,FALSE)</f>
        <v>-4211160</v>
      </c>
      <c r="C499" t="str">
        <f>"+("</f>
        <v>+(</v>
      </c>
      <c r="D499">
        <f>VLOOKUP($C491,SensorCoeffs,D497+3,FALSE)</f>
        <v>16325.6</v>
      </c>
      <c r="E499" t="str">
        <f>CONCATENATE("*SBT_C","(",B491,")",")+(")</f>
        <v>*SBT_C(15))+(</v>
      </c>
      <c r="F499">
        <f>VLOOKUP($C491,SensorCoeffs,F497+3,FALSE)</f>
        <v>12858.8</v>
      </c>
      <c r="G499" t="str">
        <f>CONCATENATE("*SBT_C","(",B491,")^2)")</f>
        <v>*SBT_C(15)^2)</v>
      </c>
      <c r="I499" s="15"/>
      <c r="J499" s="15"/>
      <c r="K499" s="15"/>
      <c r="L499" s="15"/>
      <c r="M499" s="15" t="str">
        <f>CONCATENATE(A499,B499,C499,D499,E499,F499,G499)</f>
        <v>b(15)=-4211160+(16325.6*SBT_C(15))+(12858.8*SBT_C(15)^2)</v>
      </c>
      <c r="N499" s="15"/>
      <c r="O499" s="15"/>
    </row>
    <row r="500" spans="1:15" x14ac:dyDescent="0.25">
      <c r="I500" s="15"/>
      <c r="J500" s="15"/>
      <c r="K500" s="15"/>
      <c r="L500" s="15"/>
      <c r="M500" s="15" t="s">
        <v>16</v>
      </c>
      <c r="N500" s="15"/>
      <c r="O500" s="15"/>
    </row>
    <row r="501" spans="1:15" x14ac:dyDescent="0.25">
      <c r="A501" t="str">
        <f>"SBT_K("</f>
        <v>SBT_K(</v>
      </c>
      <c r="B501">
        <f>B491</f>
        <v>15</v>
      </c>
      <c r="C501" t="str">
        <f>")=SBT_C("</f>
        <v>)=SBT_C(</v>
      </c>
      <c r="D501">
        <f>B491</f>
        <v>15</v>
      </c>
      <c r="E501" t="s">
        <v>49</v>
      </c>
      <c r="I501" s="15"/>
      <c r="J501" s="15"/>
      <c r="K501" s="15"/>
      <c r="L501" s="15"/>
      <c r="M501" s="15" t="str">
        <f>CONCATENATE(A501,B501,C501,D501,E501)</f>
        <v>SBT_K(15)=SBT_C(15)+273.15</v>
      </c>
      <c r="N501" s="15"/>
      <c r="O501" s="15"/>
    </row>
    <row r="502" spans="1:15" x14ac:dyDescent="0.25">
      <c r="A502" t="str">
        <f>"TT_K("</f>
        <v>TT_K(</v>
      </c>
      <c r="B502">
        <f>B491</f>
        <v>15</v>
      </c>
      <c r="C502" t="str">
        <f>")=SBT_K("</f>
        <v>)=SBT_K(</v>
      </c>
      <c r="D502">
        <f>B491</f>
        <v>15</v>
      </c>
      <c r="E502" t="str">
        <f>CONCATENATE(")^4+TTmV","(",B491,")")</f>
        <v>)^4+TTmV(15)</v>
      </c>
      <c r="F502" t="str">
        <f>CONCATENATE("*m","(",B491,")")</f>
        <v>*m(15)</v>
      </c>
      <c r="G502" t="str">
        <f>CONCATENATE("+b","(",B491,")")</f>
        <v>+b(15)</v>
      </c>
      <c r="I502" s="15"/>
      <c r="J502" s="15"/>
      <c r="K502" s="15"/>
      <c r="L502" s="15"/>
      <c r="M502" s="15" t="str">
        <f>CONCATENATE(A502,B502,C502,D502,E502,F502,G502)</f>
        <v>TT_K(15)=SBT_K(15)^4+TTmV(15)*m(15)+b(15)</v>
      </c>
      <c r="N502" s="15"/>
      <c r="O502" s="15"/>
    </row>
    <row r="503" spans="1:15" x14ac:dyDescent="0.25">
      <c r="A503" t="str">
        <f>CONCATENATE("TT_K(")</f>
        <v>TT_K(</v>
      </c>
      <c r="B503">
        <f>B491</f>
        <v>15</v>
      </c>
      <c r="C503" t="str">
        <f>")=SQR(SQR(TT_K("</f>
        <v>)=SQR(SQR(TT_K(</v>
      </c>
      <c r="D503">
        <f>B491</f>
        <v>15</v>
      </c>
      <c r="E503" t="s">
        <v>80</v>
      </c>
      <c r="I503" s="15"/>
      <c r="J503" s="15"/>
      <c r="K503" s="15"/>
      <c r="L503" s="15"/>
      <c r="M503" s="15" t="str">
        <f>CONCATENATE(A503,B503,C503,D503,E503)</f>
        <v>TT_K(15)=SQR(SQR(TT_K(15)))</v>
      </c>
      <c r="N503" s="15"/>
      <c r="O503" s="15"/>
    </row>
    <row r="504" spans="1:15" x14ac:dyDescent="0.25">
      <c r="I504" s="15"/>
      <c r="J504" s="15"/>
      <c r="K504" s="15"/>
      <c r="L504" s="15"/>
      <c r="M504" s="15" t="s">
        <v>17</v>
      </c>
      <c r="N504" s="15"/>
      <c r="O504" s="15"/>
    </row>
    <row r="505" spans="1:15" x14ac:dyDescent="0.25">
      <c r="A505" t="str">
        <f>"TT_C("</f>
        <v>TT_C(</v>
      </c>
      <c r="B505">
        <f>B491</f>
        <v>15</v>
      </c>
      <c r="C505" t="str">
        <f>")=TT_K("</f>
        <v>)=TT_K(</v>
      </c>
      <c r="D505">
        <f>B491</f>
        <v>15</v>
      </c>
      <c r="E505" t="s">
        <v>52</v>
      </c>
      <c r="I505" s="15"/>
      <c r="J505" s="15"/>
      <c r="K505" s="15"/>
      <c r="L505" s="15"/>
      <c r="M505" s="15" t="str">
        <f>CONCATENATE(A505,B505,C505,D505,E505)</f>
        <v>TT_C(15)=TT_K(15)-273.15</v>
      </c>
      <c r="N505" s="15"/>
      <c r="O505" s="15"/>
    </row>
    <row r="506" spans="1:15" ht="15.75" thickBot="1" x14ac:dyDescent="0.3">
      <c r="A506" s="1" t="s">
        <v>200</v>
      </c>
      <c r="B506" s="1" t="s">
        <v>34</v>
      </c>
      <c r="C506" s="1" t="s">
        <v>35</v>
      </c>
      <c r="D506" s="1"/>
      <c r="E506" s="1"/>
      <c r="F506" s="1"/>
      <c r="G506" s="1"/>
      <c r="I506" s="15"/>
      <c r="J506" s="15"/>
      <c r="K506" s="15"/>
      <c r="L506" s="17" t="str">
        <f>"'Switch on next AM416 Multiplexer channel.  PulsePort(DataLogger channel C#, Delay)"</f>
        <v>'Switch on next AM416 Multiplexer channel.  PulsePort(DataLogger channel C#, Delay)</v>
      </c>
      <c r="M506" s="15"/>
      <c r="N506" s="15"/>
      <c r="O506" s="15"/>
    </row>
    <row r="507" spans="1:15" ht="16.5" thickBot="1" x14ac:dyDescent="0.3">
      <c r="A507" s="5">
        <f>A491</f>
        <v>1</v>
      </c>
      <c r="B507" s="5">
        <f>B491+1</f>
        <v>16</v>
      </c>
      <c r="C507" s="6">
        <f>C491+1</f>
        <v>16</v>
      </c>
      <c r="D507" s="84" t="s">
        <v>243</v>
      </c>
      <c r="E507" s="85"/>
      <c r="F507" s="85"/>
      <c r="G507" s="86"/>
      <c r="I507" s="15"/>
      <c r="J507" s="15"/>
      <c r="K507" s="15"/>
      <c r="L507" s="15" t="str">
        <f>"PulsePort("&amp;ClockComChannel&amp;",10000)"</f>
        <v>PulsePort(1,10000)</v>
      </c>
      <c r="M507" s="15"/>
      <c r="N507" s="15"/>
      <c r="O507" s="15"/>
    </row>
    <row r="508" spans="1:15" x14ac:dyDescent="0.25">
      <c r="I508" s="15"/>
      <c r="J508" s="15"/>
      <c r="K508" s="15"/>
      <c r="L508" s="15"/>
      <c r="M508" s="15" t="s">
        <v>22</v>
      </c>
      <c r="N508" s="15"/>
      <c r="O508" s="15"/>
    </row>
    <row r="509" spans="1:15" x14ac:dyDescent="0.25">
      <c r="I509" s="15"/>
      <c r="J509" s="15"/>
      <c r="K509" s="15"/>
      <c r="L509" s="15"/>
      <c r="M509" s="15" t="str">
        <f>"'Measure SI-111 sensor body thermistor temperature.  Therm109 (Dest, Reps, SEChan, VX/ExChan, SettlingTime, Integ, Mult, Offset)"</f>
        <v>'Measure SI-111 sensor body thermistor temperature.  Therm109 (Dest, Reps, SEChan, VX/ExChan, SettlingTime, Integ, Mult, Offset)</v>
      </c>
      <c r="N509" s="15"/>
      <c r="O509" s="15"/>
    </row>
    <row r="510" spans="1:15" x14ac:dyDescent="0.25">
      <c r="A510" t="str">
        <f>"Therm109(SBT_C("</f>
        <v>Therm109(SBT_C(</v>
      </c>
      <c r="B510">
        <f>B507</f>
        <v>16</v>
      </c>
      <c r="C510" t="s">
        <v>130</v>
      </c>
      <c r="D510">
        <f>MUX1SEChannel</f>
        <v>3</v>
      </c>
      <c r="E510" t="s">
        <v>46</v>
      </c>
      <c r="F510" t="str">
        <f>"VX"&amp;MUX1VXChannel</f>
        <v>VX2</v>
      </c>
      <c r="G510" t="s">
        <v>133</v>
      </c>
      <c r="I510" s="15"/>
      <c r="J510" s="15"/>
      <c r="K510" s="15"/>
      <c r="L510" s="15"/>
      <c r="M510" s="15" t="str">
        <f>CONCATENATE(A510,B510,C510,D510,E510,F510,G510)</f>
        <v>Therm109(SBT_C(16),1,3,VX2,0,_60Hz,1,0)</v>
      </c>
      <c r="N510" s="15"/>
      <c r="O510" s="15"/>
    </row>
    <row r="511" spans="1:15" x14ac:dyDescent="0.25">
      <c r="I511" s="15"/>
      <c r="J511" s="15"/>
      <c r="K511" s="15"/>
      <c r="L511" s="15"/>
      <c r="M511" s="15" t="str">
        <f>"'Measure SI-111 output of thermopile.  VoltDiff(Dest, Reps, Range, DiffChan, RevDiff, SettlingTime, Integ, Mult, Offset)"</f>
        <v>'Measure SI-111 output of thermopile.  VoltDiff(Dest, Reps, Range, DiffChan, RevDiff, SettlingTime, Integ, Mult, Offset)</v>
      </c>
      <c r="N511" s="15"/>
      <c r="O511" s="15"/>
    </row>
    <row r="512" spans="1:15" x14ac:dyDescent="0.25">
      <c r="A512" t="str">
        <f>"VoltDiff(TTmV("</f>
        <v>VoltDiff(TTmV(</v>
      </c>
      <c r="B512">
        <f>B507</f>
        <v>16</v>
      </c>
      <c r="C512" t="s">
        <v>131</v>
      </c>
      <c r="D512">
        <f>MUX1DiffChannel</f>
        <v>1</v>
      </c>
      <c r="E512" t="s">
        <v>132</v>
      </c>
      <c r="I512" s="15"/>
      <c r="J512" s="15"/>
      <c r="K512" s="15"/>
      <c r="L512" s="15"/>
      <c r="M512" s="15" t="str">
        <f>CONCATENATE(A512,B512,C512,D512,E512)</f>
        <v>VoltDiff(TTmV(16),1,mV2_5,1,True,0,_60Hz,1,0,)</v>
      </c>
      <c r="N512" s="15"/>
      <c r="O512" s="15"/>
    </row>
    <row r="513" spans="1:15" x14ac:dyDescent="0.25">
      <c r="B513" s="7">
        <v>6</v>
      </c>
      <c r="D513" s="7">
        <v>7</v>
      </c>
      <c r="F513" s="7">
        <v>8</v>
      </c>
      <c r="I513" s="15"/>
      <c r="J513" s="15"/>
      <c r="K513" s="15"/>
      <c r="L513" s="15"/>
      <c r="M513" s="15" t="s">
        <v>15</v>
      </c>
      <c r="N513" s="15"/>
      <c r="O513" s="15"/>
    </row>
    <row r="514" spans="1:15" x14ac:dyDescent="0.25">
      <c r="A514" t="str">
        <f>CONCATENATE("m","(",B507,")=")</f>
        <v>m(16)=</v>
      </c>
      <c r="B514">
        <f>VLOOKUP($C507,SensorCoeffs,B513,FALSE)</f>
        <v>1321880000</v>
      </c>
      <c r="C514" t="str">
        <f>"+("</f>
        <v>+(</v>
      </c>
      <c r="D514">
        <f>VLOOKUP($C507,SensorCoeffs,D513,FALSE)</f>
        <v>6953780</v>
      </c>
      <c r="E514" t="str">
        <f>CONCATENATE("*SBT_C","(",B507,")",")+(")</f>
        <v>*SBT_C(16))+(</v>
      </c>
      <c r="F514">
        <f>VLOOKUP($C507,SensorCoeffs,F513,FALSE)</f>
        <v>75548.899999999994</v>
      </c>
      <c r="G514" t="str">
        <f>CONCATENATE("*SBT_C","(",B507,")^2)")</f>
        <v>*SBT_C(16)^2)</v>
      </c>
      <c r="I514" s="15"/>
      <c r="J514" s="15"/>
      <c r="K514" s="15"/>
      <c r="L514" s="15"/>
      <c r="M514" s="15" t="str">
        <f>CONCATENATE(A514,B514,C514,D514,E514,F514,G514)</f>
        <v>m(16)=1321880000+(6953780*SBT_C(16))+(75548.9*SBT_C(16)^2)</v>
      </c>
      <c r="N514" s="15"/>
      <c r="O514" s="15"/>
    </row>
    <row r="515" spans="1:15" x14ac:dyDescent="0.25">
      <c r="A515" t="str">
        <f>CONCATENATE("b","(",B507,")=")</f>
        <v>b(16)=</v>
      </c>
      <c r="B515">
        <f>VLOOKUP($C507,SensorCoeffs,B513+3,FALSE)</f>
        <v>-7079850</v>
      </c>
      <c r="C515" t="str">
        <f>"+("</f>
        <v>+(</v>
      </c>
      <c r="D515">
        <f>VLOOKUP($C507,SensorCoeffs,D513+3,FALSE)</f>
        <v>128729</v>
      </c>
      <c r="E515" t="str">
        <f>CONCATENATE("*SBT_C","(",B507,")",")+(")</f>
        <v>*SBT_C(16))+(</v>
      </c>
      <c r="F515">
        <f>VLOOKUP($C507,SensorCoeffs,F513+3,FALSE)</f>
        <v>13473.3</v>
      </c>
      <c r="G515" t="str">
        <f>CONCATENATE("*SBT_C","(",B507,")^2)")</f>
        <v>*SBT_C(16)^2)</v>
      </c>
      <c r="I515" s="15"/>
      <c r="J515" s="15"/>
      <c r="K515" s="15"/>
      <c r="L515" s="15"/>
      <c r="M515" s="15" t="str">
        <f>CONCATENATE(A515,B515,C515,D515,E515,F515,G515)</f>
        <v>b(16)=-7079850+(128729*SBT_C(16))+(13473.3*SBT_C(16)^2)</v>
      </c>
      <c r="N515" s="15"/>
      <c r="O515" s="15"/>
    </row>
    <row r="516" spans="1:15" x14ac:dyDescent="0.25">
      <c r="I516" s="15"/>
      <c r="J516" s="15"/>
      <c r="K516" s="15"/>
      <c r="L516" s="15"/>
      <c r="M516" s="15" t="s">
        <v>16</v>
      </c>
      <c r="N516" s="15"/>
      <c r="O516" s="15"/>
    </row>
    <row r="517" spans="1:15" x14ac:dyDescent="0.25">
      <c r="A517" t="str">
        <f>"SBT_K("</f>
        <v>SBT_K(</v>
      </c>
      <c r="B517">
        <f>B507</f>
        <v>16</v>
      </c>
      <c r="C517" t="str">
        <f>")=SBT_C("</f>
        <v>)=SBT_C(</v>
      </c>
      <c r="D517">
        <f>B507</f>
        <v>16</v>
      </c>
      <c r="E517" t="s">
        <v>49</v>
      </c>
      <c r="I517" s="15"/>
      <c r="J517" s="15"/>
      <c r="K517" s="15"/>
      <c r="L517" s="15"/>
      <c r="M517" s="15" t="str">
        <f>CONCATENATE(A517,B517,C517,D517,E517)</f>
        <v>SBT_K(16)=SBT_C(16)+273.15</v>
      </c>
      <c r="N517" s="15"/>
      <c r="O517" s="15"/>
    </row>
    <row r="518" spans="1:15" x14ac:dyDescent="0.25">
      <c r="A518" t="str">
        <f>"TT_K("</f>
        <v>TT_K(</v>
      </c>
      <c r="B518">
        <f>B507</f>
        <v>16</v>
      </c>
      <c r="C518" t="str">
        <f>")=SBT_K("</f>
        <v>)=SBT_K(</v>
      </c>
      <c r="D518">
        <f>B507</f>
        <v>16</v>
      </c>
      <c r="E518" t="str">
        <f>CONCATENATE(")^4+TTmV","(",B507,")")</f>
        <v>)^4+TTmV(16)</v>
      </c>
      <c r="F518" t="str">
        <f>CONCATENATE("*m","(",B507,")")</f>
        <v>*m(16)</v>
      </c>
      <c r="G518" t="str">
        <f>CONCATENATE("+b","(",B507,")")</f>
        <v>+b(16)</v>
      </c>
      <c r="I518" s="15"/>
      <c r="J518" s="15"/>
      <c r="K518" s="15"/>
      <c r="L518" s="15"/>
      <c r="M518" s="15" t="str">
        <f>CONCATENATE(A518,B518,C518,D518,E518,F518,G518)</f>
        <v>TT_K(16)=SBT_K(16)^4+TTmV(16)*m(16)+b(16)</v>
      </c>
      <c r="N518" s="15"/>
      <c r="O518" s="15"/>
    </row>
    <row r="519" spans="1:15" x14ac:dyDescent="0.25">
      <c r="A519" t="str">
        <f>CONCATENATE("TT_K(")</f>
        <v>TT_K(</v>
      </c>
      <c r="B519">
        <f>B507</f>
        <v>16</v>
      </c>
      <c r="C519" t="str">
        <f>")=SQR(SQR(TT_K("</f>
        <v>)=SQR(SQR(TT_K(</v>
      </c>
      <c r="D519">
        <f>B507</f>
        <v>16</v>
      </c>
      <c r="E519" t="s">
        <v>80</v>
      </c>
      <c r="I519" s="15"/>
      <c r="J519" s="15"/>
      <c r="K519" s="15"/>
      <c r="L519" s="15"/>
      <c r="M519" s="15" t="str">
        <f>CONCATENATE(A519,B519,C519,D519,E519)</f>
        <v>TT_K(16)=SQR(SQR(TT_K(16)))</v>
      </c>
      <c r="N519" s="15"/>
      <c r="O519" s="15"/>
    </row>
    <row r="520" spans="1:15" x14ac:dyDescent="0.25">
      <c r="I520" s="15"/>
      <c r="J520" s="15"/>
      <c r="K520" s="15"/>
      <c r="L520" s="15"/>
      <c r="M520" s="15" t="s">
        <v>17</v>
      </c>
      <c r="N520" s="15"/>
      <c r="O520" s="15"/>
    </row>
    <row r="521" spans="1:15" x14ac:dyDescent="0.25">
      <c r="A521" t="str">
        <f>"TT_C("</f>
        <v>TT_C(</v>
      </c>
      <c r="B521">
        <f>B507</f>
        <v>16</v>
      </c>
      <c r="C521" t="str">
        <f>")=TT_K("</f>
        <v>)=TT_K(</v>
      </c>
      <c r="D521">
        <f>B507</f>
        <v>16</v>
      </c>
      <c r="E521" t="s">
        <v>52</v>
      </c>
      <c r="I521" s="15"/>
      <c r="J521" s="15"/>
      <c r="K521" s="15"/>
      <c r="L521" s="15"/>
      <c r="M521" s="15" t="str">
        <f>CONCATENATE(A521,B521,C521,D521,E521)</f>
        <v>TT_C(16)=TT_K(16)-273.15</v>
      </c>
      <c r="N521" s="15"/>
      <c r="O521" s="15"/>
    </row>
    <row r="522" spans="1:15" x14ac:dyDescent="0.25">
      <c r="A522" s="16"/>
      <c r="B522" s="16"/>
      <c r="C522" s="16"/>
      <c r="D522" s="16"/>
      <c r="E522" s="16"/>
      <c r="F522" s="16"/>
      <c r="G522" s="16"/>
      <c r="I522" s="15"/>
      <c r="J522" s="15"/>
      <c r="K522" s="17" t="str">
        <f>"'Turn AM16/32 Multiplexer Off.  PortSet(DataLogger channel C#, State 0=off and reset)"</f>
        <v>'Turn AM16/32 Multiplexer Off.  PortSet(DataLogger channel C#, State 0=off and reset)</v>
      </c>
      <c r="L522" s="15"/>
      <c r="M522" s="15"/>
      <c r="N522" s="15"/>
      <c r="O522" s="15"/>
    </row>
    <row r="523" spans="1:15" x14ac:dyDescent="0.25">
      <c r="A523" s="3" t="s">
        <v>29</v>
      </c>
      <c r="B523" s="3">
        <f>MUX1ResComChannel</f>
        <v>2</v>
      </c>
      <c r="C523" s="3" t="s">
        <v>48</v>
      </c>
      <c r="D523" s="16"/>
      <c r="E523" s="16"/>
      <c r="F523" s="16"/>
      <c r="G523" s="16"/>
      <c r="I523" s="15"/>
      <c r="J523" s="15"/>
      <c r="K523" s="15" t="str">
        <f>CONCATENATE(A523,B523,C523)</f>
        <v>PortSet(2,0)</v>
      </c>
      <c r="L523" s="15"/>
      <c r="M523" s="15"/>
      <c r="N523" s="15"/>
      <c r="O523" s="15"/>
    </row>
    <row r="524" spans="1:15" ht="15.75" thickBot="1" x14ac:dyDescent="0.3">
      <c r="A524" s="16"/>
      <c r="B524" s="16"/>
      <c r="C524" s="16"/>
      <c r="D524" s="16"/>
      <c r="E524" s="16"/>
      <c r="F524" s="16"/>
      <c r="G524" s="16"/>
      <c r="I524" s="15"/>
      <c r="J524" s="15"/>
      <c r="K524" s="15" t="s">
        <v>53</v>
      </c>
      <c r="L524" s="15"/>
      <c r="M524" s="15"/>
      <c r="N524" s="15"/>
      <c r="O524" s="15"/>
    </row>
    <row r="525" spans="1:15" ht="15.75" thickBot="1" x14ac:dyDescent="0.3">
      <c r="A525" s="5" t="s">
        <v>200</v>
      </c>
      <c r="B525" s="5">
        <v>2</v>
      </c>
      <c r="C525" s="87" t="s">
        <v>244</v>
      </c>
      <c r="D525" s="88"/>
      <c r="E525" s="88"/>
      <c r="F525" s="88"/>
      <c r="G525" s="89"/>
      <c r="I525" s="15"/>
      <c r="J525" s="15"/>
      <c r="K525" s="17" t="str">
        <f>"'Turn AM16/32 Multiplexer On.  PortSet(DataLogger com channel, State 1=on and can respond to clock pulses)"</f>
        <v>'Turn AM16/32 Multiplexer On.  PortSet(DataLogger com channel, State 1=on and can respond to clock pulses)</v>
      </c>
      <c r="L525" s="15"/>
      <c r="M525" s="15"/>
      <c r="N525" s="15"/>
      <c r="O525" s="15"/>
    </row>
    <row r="526" spans="1:15" x14ac:dyDescent="0.25">
      <c r="A526" s="3" t="s">
        <v>29</v>
      </c>
      <c r="B526">
        <f>VLOOKUP("MUXResComChannel",MUXChans,B525+1,FALSE)</f>
        <v>3</v>
      </c>
      <c r="C526" t="s">
        <v>30</v>
      </c>
      <c r="D526" s="16"/>
      <c r="E526" s="16"/>
      <c r="F526" s="16"/>
      <c r="G526" s="16"/>
      <c r="I526" s="15"/>
      <c r="J526" s="15"/>
      <c r="K526" s="15" t="str">
        <f>CONCATENATE(A526,B526,C526)</f>
        <v>PortSet(3,1)</v>
      </c>
      <c r="L526" s="15"/>
      <c r="M526" s="15"/>
      <c r="N526" s="15"/>
      <c r="O526" s="15"/>
    </row>
    <row r="527" spans="1:15" x14ac:dyDescent="0.25">
      <c r="A527" s="16"/>
      <c r="B527" s="16"/>
      <c r="C527" s="16"/>
      <c r="D527" s="16"/>
      <c r="E527" s="16"/>
      <c r="F527" s="16"/>
      <c r="G527" s="16"/>
      <c r="I527" s="15"/>
      <c r="J527" s="15"/>
      <c r="K527" s="15" t="s">
        <v>53</v>
      </c>
      <c r="L527" s="15"/>
      <c r="M527" s="15"/>
      <c r="N527" s="15"/>
      <c r="O527" s="15"/>
    </row>
    <row r="528" spans="1:15" ht="15.75" thickBot="1" x14ac:dyDescent="0.3">
      <c r="A528" s="1" t="s">
        <v>200</v>
      </c>
      <c r="B528" s="1" t="s">
        <v>34</v>
      </c>
      <c r="C528" s="1" t="s">
        <v>35</v>
      </c>
      <c r="D528" s="1"/>
      <c r="E528" s="1"/>
      <c r="F528" s="1"/>
      <c r="G528" s="1"/>
      <c r="I528" s="15"/>
      <c r="J528" s="15"/>
      <c r="K528" s="15"/>
      <c r="L528" s="17" t="str">
        <f>"'Switch on the first AM416 Multiplexer channel.  PulsePort(DataLogger channel C#, Delay)"</f>
        <v>'Switch on the first AM416 Multiplexer channel.  PulsePort(DataLogger channel C#, Delay)</v>
      </c>
      <c r="M528" s="15"/>
      <c r="N528" s="15"/>
      <c r="O528" s="15"/>
    </row>
    <row r="529" spans="1:15" ht="16.5" thickBot="1" x14ac:dyDescent="0.3">
      <c r="A529" s="5">
        <f>B525</f>
        <v>2</v>
      </c>
      <c r="B529" s="5">
        <v>1</v>
      </c>
      <c r="C529" s="6">
        <v>17</v>
      </c>
      <c r="D529" s="84" t="s">
        <v>243</v>
      </c>
      <c r="E529" s="85"/>
      <c r="F529" s="85"/>
      <c r="G529" s="86"/>
      <c r="I529" s="15"/>
      <c r="J529" s="15"/>
      <c r="K529" s="15"/>
      <c r="L529" s="15" t="str">
        <f>"PulsePort("&amp;ClockComChannel&amp;",10000)"</f>
        <v>PulsePort(1,10000)</v>
      </c>
      <c r="M529" s="15"/>
      <c r="N529" s="15"/>
      <c r="O529" s="15"/>
    </row>
    <row r="530" spans="1:15" x14ac:dyDescent="0.25">
      <c r="I530" s="15"/>
      <c r="J530" s="15"/>
      <c r="K530" s="15"/>
      <c r="L530" s="15"/>
      <c r="M530" s="15" t="s">
        <v>22</v>
      </c>
      <c r="N530" s="15"/>
      <c r="O530" s="15"/>
    </row>
    <row r="531" spans="1:15" x14ac:dyDescent="0.25">
      <c r="I531" s="15"/>
      <c r="J531" s="15"/>
      <c r="K531" s="15"/>
      <c r="L531" s="15"/>
      <c r="M531" s="15" t="str">
        <f>"'Measure SI-111 sensor body thermistor temperature.  Therm109 (Dest, Reps, SEChan, VX/ExChan, SettlingTime, Integ, Mult, Offset)"</f>
        <v>'Measure SI-111 sensor body thermistor temperature.  Therm109 (Dest, Reps, SEChan, VX/ExChan, SettlingTime, Integ, Mult, Offset)</v>
      </c>
      <c r="N531" s="15"/>
      <c r="O531" s="15"/>
    </row>
    <row r="532" spans="1:15" x14ac:dyDescent="0.25">
      <c r="A532" t="str">
        <f>"Therm109(SBT_C("</f>
        <v>Therm109(SBT_C(</v>
      </c>
      <c r="B532">
        <f>C529</f>
        <v>17</v>
      </c>
      <c r="C532" t="s">
        <v>130</v>
      </c>
      <c r="D532">
        <f>VLOOKUP("MUXSEChannel",MUXChans,A529+1,FALSE)</f>
        <v>4</v>
      </c>
      <c r="E532" t="s">
        <v>46</v>
      </c>
      <c r="F532" t="str">
        <f>"VX"&amp;VLOOKUP("MUXVXChannel",MUXChannnels,A529+1,FALSE)</f>
        <v>VX3</v>
      </c>
      <c r="G532" t="s">
        <v>133</v>
      </c>
      <c r="I532" s="15"/>
      <c r="J532" s="15"/>
      <c r="K532" s="15"/>
      <c r="L532" s="15"/>
      <c r="M532" s="15" t="str">
        <f>CONCATENATE(A532,B532,C532,D532,E532,F532,G532)</f>
        <v>Therm109(SBT_C(17),1,4,VX3,0,_60Hz,1,0)</v>
      </c>
      <c r="N532" s="15"/>
      <c r="O532" s="15"/>
    </row>
    <row r="533" spans="1:15" x14ac:dyDescent="0.25">
      <c r="I533" s="15"/>
      <c r="J533" s="15"/>
      <c r="K533" s="15"/>
      <c r="L533" s="15"/>
      <c r="M533" s="15" t="str">
        <f>"'Measure SI-111 output of thermopile.  VoltDiff(Dest, Reps, Range, DiffChan, RevDiff, SettlingTime, Integ, Mult, Offset)"</f>
        <v>'Measure SI-111 output of thermopile.  VoltDiff(Dest, Reps, Range, DiffChan, RevDiff, SettlingTime, Integ, Mult, Offset)</v>
      </c>
      <c r="N533" s="15"/>
      <c r="O533" s="15"/>
    </row>
    <row r="534" spans="1:15" x14ac:dyDescent="0.25">
      <c r="A534" t="str">
        <f>"VoltDiff(TTmV("</f>
        <v>VoltDiff(TTmV(</v>
      </c>
      <c r="B534">
        <f>C529</f>
        <v>17</v>
      </c>
      <c r="C534" t="s">
        <v>131</v>
      </c>
      <c r="D534">
        <f>VLOOKUP("MUXDiffChannel",MUXChans,A529+1,FALSE)</f>
        <v>3</v>
      </c>
      <c r="E534" t="s">
        <v>132</v>
      </c>
      <c r="I534" s="15"/>
      <c r="J534" s="15"/>
      <c r="K534" s="15"/>
      <c r="L534" s="15"/>
      <c r="M534" s="15" t="str">
        <f>CONCATENATE(A534,B534,C534,D534,E534)</f>
        <v>VoltDiff(TTmV(17),1,mV2_5,3,True,0,_60Hz,1,0,)</v>
      </c>
      <c r="N534" s="15"/>
      <c r="O534" s="15"/>
    </row>
    <row r="535" spans="1:15" x14ac:dyDescent="0.25">
      <c r="B535" s="7">
        <v>6</v>
      </c>
      <c r="D535" s="7">
        <v>7</v>
      </c>
      <c r="F535" s="7">
        <v>8</v>
      </c>
      <c r="I535" s="15"/>
      <c r="J535" s="15"/>
      <c r="K535" s="15"/>
      <c r="L535" s="15"/>
      <c r="M535" s="15" t="s">
        <v>15</v>
      </c>
      <c r="N535" s="15"/>
      <c r="O535" s="15"/>
    </row>
    <row r="536" spans="1:15" x14ac:dyDescent="0.25">
      <c r="A536" t="str">
        <f>CONCATENATE("m","(",C529,")=")</f>
        <v>m(17)=</v>
      </c>
      <c r="B536">
        <f>VLOOKUP($C529,SensorCoeffs,B535,FALSE)</f>
        <v>1347710000</v>
      </c>
      <c r="C536" t="str">
        <f>"+("</f>
        <v>+(</v>
      </c>
      <c r="D536">
        <f>VLOOKUP($C529,SensorCoeffs,D535,FALSE)</f>
        <v>7097850</v>
      </c>
      <c r="E536" t="str">
        <f>CONCATENATE("*SBT_C","(",C529,")",")+(")</f>
        <v>*SBT_C(17))+(</v>
      </c>
      <c r="F536">
        <f>VLOOKUP($C529,SensorCoeffs,F535,FALSE)</f>
        <v>73741.2</v>
      </c>
      <c r="G536" t="str">
        <f>CONCATENATE("*SBT_C","(",C529,")^2)")</f>
        <v>*SBT_C(17)^2)</v>
      </c>
      <c r="I536" s="15"/>
      <c r="J536" s="15"/>
      <c r="K536" s="15"/>
      <c r="L536" s="15"/>
      <c r="M536" s="15" t="str">
        <f>CONCATENATE(A536,B536,C536,D536,E536,F536,G536)</f>
        <v>m(17)=1347710000+(7097850*SBT_C(17))+(73741.2*SBT_C(17)^2)</v>
      </c>
      <c r="N536" s="15"/>
      <c r="O536" s="15"/>
    </row>
    <row r="537" spans="1:15" x14ac:dyDescent="0.25">
      <c r="A537" t="str">
        <f>CONCATENATE("b","(",C529,")=")</f>
        <v>b(17)=</v>
      </c>
      <c r="B537">
        <f>VLOOKUP($C529,SensorCoeffs,B535+3,FALSE)</f>
        <v>-5754910</v>
      </c>
      <c r="C537" t="str">
        <f>"+("</f>
        <v>+(</v>
      </c>
      <c r="D537">
        <f>VLOOKUP($C529,SensorCoeffs,D535+3,FALSE)</f>
        <v>-18618.3</v>
      </c>
      <c r="E537" t="str">
        <f>CONCATENATE("*SBT_C","(",C529,")",")+(")</f>
        <v>*SBT_C(17))+(</v>
      </c>
      <c r="F537">
        <f>VLOOKUP($C529,SensorCoeffs,F535+3,FALSE)</f>
        <v>13883.8</v>
      </c>
      <c r="G537" t="str">
        <f>CONCATENATE("*SBT_C","(",C529,")^2)")</f>
        <v>*SBT_C(17)^2)</v>
      </c>
      <c r="I537" s="15"/>
      <c r="J537" s="15"/>
      <c r="K537" s="15"/>
      <c r="L537" s="15"/>
      <c r="M537" s="15" t="str">
        <f>CONCATENATE(A537,B537,C537,D537,E537,F537,G537)</f>
        <v>b(17)=-5754910+(-18618.3*SBT_C(17))+(13883.8*SBT_C(17)^2)</v>
      </c>
      <c r="N537" s="15"/>
      <c r="O537" s="15"/>
    </row>
    <row r="538" spans="1:15" x14ac:dyDescent="0.25">
      <c r="I538" s="15"/>
      <c r="J538" s="15"/>
      <c r="K538" s="15"/>
      <c r="L538" s="15"/>
      <c r="M538" s="15" t="s">
        <v>16</v>
      </c>
      <c r="N538" s="15"/>
      <c r="O538" s="15"/>
    </row>
    <row r="539" spans="1:15" x14ac:dyDescent="0.25">
      <c r="A539" t="str">
        <f>"SBT_K("</f>
        <v>SBT_K(</v>
      </c>
      <c r="B539">
        <f>C529</f>
        <v>17</v>
      </c>
      <c r="C539" t="str">
        <f>")=SBT_C("</f>
        <v>)=SBT_C(</v>
      </c>
      <c r="D539">
        <f>C529</f>
        <v>17</v>
      </c>
      <c r="E539" t="s">
        <v>49</v>
      </c>
      <c r="I539" s="15"/>
      <c r="J539" s="15"/>
      <c r="K539" s="15"/>
      <c r="L539" s="15"/>
      <c r="M539" s="15" t="str">
        <f>CONCATENATE(A539,B539,C539,D539,E539)</f>
        <v>SBT_K(17)=SBT_C(17)+273.15</v>
      </c>
      <c r="N539" s="15"/>
      <c r="O539" s="15"/>
    </row>
    <row r="540" spans="1:15" x14ac:dyDescent="0.25">
      <c r="A540" t="str">
        <f>"TT_K("</f>
        <v>TT_K(</v>
      </c>
      <c r="B540">
        <f>C529</f>
        <v>17</v>
      </c>
      <c r="C540" t="str">
        <f>")=SBT_K("</f>
        <v>)=SBT_K(</v>
      </c>
      <c r="D540">
        <f>C529</f>
        <v>17</v>
      </c>
      <c r="E540" t="str">
        <f>CONCATENATE(")^4+TTmV","(",C529,")")</f>
        <v>)^4+TTmV(17)</v>
      </c>
      <c r="F540" t="str">
        <f>CONCATENATE("*m","(",C529,")")</f>
        <v>*m(17)</v>
      </c>
      <c r="G540" t="str">
        <f>CONCATENATE("+b","(",C529,")")</f>
        <v>+b(17)</v>
      </c>
      <c r="I540" s="15"/>
      <c r="J540" s="15"/>
      <c r="K540" s="15"/>
      <c r="L540" s="15"/>
      <c r="M540" s="15" t="str">
        <f>CONCATENATE(A540,B540,C540,D540,E540,F540,G540)</f>
        <v>TT_K(17)=SBT_K(17)^4+TTmV(17)*m(17)+b(17)</v>
      </c>
      <c r="N540" s="15"/>
      <c r="O540" s="15"/>
    </row>
    <row r="541" spans="1:15" x14ac:dyDescent="0.25">
      <c r="A541" t="str">
        <f>CONCATENATE("TT_K(")</f>
        <v>TT_K(</v>
      </c>
      <c r="B541">
        <f>C529</f>
        <v>17</v>
      </c>
      <c r="C541" t="str">
        <f>")=SQR(SQR(TT_K("</f>
        <v>)=SQR(SQR(TT_K(</v>
      </c>
      <c r="D541">
        <f>C529</f>
        <v>17</v>
      </c>
      <c r="E541" t="s">
        <v>80</v>
      </c>
      <c r="I541" s="15"/>
      <c r="J541" s="15"/>
      <c r="K541" s="15"/>
      <c r="L541" s="15"/>
      <c r="M541" s="15" t="str">
        <f>CONCATENATE(A541,B541,C541,D541,E541)</f>
        <v>TT_K(17)=SQR(SQR(TT_K(17)))</v>
      </c>
      <c r="N541" s="15"/>
      <c r="O541" s="15"/>
    </row>
    <row r="542" spans="1:15" x14ac:dyDescent="0.25">
      <c r="I542" s="15"/>
      <c r="J542" s="15"/>
      <c r="K542" s="15"/>
      <c r="L542" s="15"/>
      <c r="M542" s="15" t="s">
        <v>17</v>
      </c>
      <c r="N542" s="15"/>
      <c r="O542" s="15"/>
    </row>
    <row r="543" spans="1:15" x14ac:dyDescent="0.25">
      <c r="A543" t="str">
        <f>"TT_C("</f>
        <v>TT_C(</v>
      </c>
      <c r="B543">
        <f>C529</f>
        <v>17</v>
      </c>
      <c r="C543" t="str">
        <f>")=TT_K("</f>
        <v>)=TT_K(</v>
      </c>
      <c r="D543">
        <f>C529</f>
        <v>17</v>
      </c>
      <c r="E543" t="s">
        <v>52</v>
      </c>
      <c r="I543" s="15"/>
      <c r="J543" s="15"/>
      <c r="K543" s="15"/>
      <c r="L543" s="15"/>
      <c r="M543" s="15" t="str">
        <f>CONCATENATE(A543,B543,C543,D543,E543)</f>
        <v>TT_C(17)=TT_K(17)-273.15</v>
      </c>
      <c r="N543" s="15"/>
      <c r="O543" s="15"/>
    </row>
    <row r="544" spans="1:15" ht="15.75" thickBot="1" x14ac:dyDescent="0.3">
      <c r="A544" s="1" t="s">
        <v>200</v>
      </c>
      <c r="B544" s="1" t="s">
        <v>34</v>
      </c>
      <c r="C544" s="1" t="s">
        <v>35</v>
      </c>
      <c r="D544" s="1"/>
      <c r="E544" s="1"/>
      <c r="F544" s="1"/>
      <c r="G544" s="1"/>
      <c r="I544" s="15"/>
      <c r="J544" s="15"/>
      <c r="K544" s="15"/>
      <c r="L544" s="17" t="str">
        <f>"'Switch on next AM416 Multiplexer channel.  PulsePort(DataLogger channel C#, Delay)"</f>
        <v>'Switch on next AM416 Multiplexer channel.  PulsePort(DataLogger channel C#, Delay)</v>
      </c>
      <c r="M544" s="15"/>
      <c r="N544" s="15"/>
      <c r="O544" s="15"/>
    </row>
    <row r="545" spans="1:15" ht="16.5" thickBot="1" x14ac:dyDescent="0.3">
      <c r="A545" s="5">
        <f>A529</f>
        <v>2</v>
      </c>
      <c r="B545" s="5">
        <f>B529+1</f>
        <v>2</v>
      </c>
      <c r="C545" s="6">
        <f>C529+1</f>
        <v>18</v>
      </c>
      <c r="D545" s="84" t="s">
        <v>243</v>
      </c>
      <c r="E545" s="85"/>
      <c r="F545" s="85"/>
      <c r="G545" s="86"/>
      <c r="I545" s="15"/>
      <c r="J545" s="15"/>
      <c r="K545" s="15"/>
      <c r="L545" s="15" t="str">
        <f>"PulsePort("&amp;ClockComChannel&amp;",10000)"</f>
        <v>PulsePort(1,10000)</v>
      </c>
      <c r="M545" s="15"/>
      <c r="N545" s="15"/>
      <c r="O545" s="15"/>
    </row>
    <row r="546" spans="1:15" x14ac:dyDescent="0.25">
      <c r="I546" s="15"/>
      <c r="J546" s="15"/>
      <c r="K546" s="15"/>
      <c r="L546" s="15"/>
      <c r="M546" s="15" t="s">
        <v>22</v>
      </c>
      <c r="N546" s="15"/>
      <c r="O546" s="15"/>
    </row>
    <row r="547" spans="1:15" x14ac:dyDescent="0.25">
      <c r="I547" s="15"/>
      <c r="J547" s="15"/>
      <c r="K547" s="15"/>
      <c r="L547" s="15"/>
      <c r="M547" s="15" t="str">
        <f>"'Measure SI-111 sensor body thermistor temperature.  Therm109 (Dest, Reps, SEChan, VX/ExChan, SettlingTime, Integ, Mult, Offset)"</f>
        <v>'Measure SI-111 sensor body thermistor temperature.  Therm109 (Dest, Reps, SEChan, VX/ExChan, SettlingTime, Integ, Mult, Offset)</v>
      </c>
      <c r="N547" s="15"/>
      <c r="O547" s="15"/>
    </row>
    <row r="548" spans="1:15" x14ac:dyDescent="0.25">
      <c r="A548" t="str">
        <f>"Therm109(SBT_C("</f>
        <v>Therm109(SBT_C(</v>
      </c>
      <c r="B548">
        <f>C545</f>
        <v>18</v>
      </c>
      <c r="C548" t="s">
        <v>130</v>
      </c>
      <c r="D548">
        <f>VLOOKUP("MUXSEChannel",MUXChans,A545+1,FALSE)</f>
        <v>4</v>
      </c>
      <c r="E548" t="s">
        <v>46</v>
      </c>
      <c r="F548" t="str">
        <f>"VX"&amp;VLOOKUP("MUXVXChannel",MUXChannnels,A545+1,FALSE)</f>
        <v>VX3</v>
      </c>
      <c r="G548" t="s">
        <v>133</v>
      </c>
      <c r="I548" s="15"/>
      <c r="J548" s="15"/>
      <c r="K548" s="15"/>
      <c r="L548" s="15"/>
      <c r="M548" s="15" t="str">
        <f>CONCATENATE(A548,B548,C548,D548,E548,F548,G548)</f>
        <v>Therm109(SBT_C(18),1,4,VX3,0,_60Hz,1,0)</v>
      </c>
      <c r="N548" s="15"/>
      <c r="O548" s="15"/>
    </row>
    <row r="549" spans="1:15" x14ac:dyDescent="0.25">
      <c r="I549" s="15"/>
      <c r="J549" s="15"/>
      <c r="K549" s="15"/>
      <c r="L549" s="15"/>
      <c r="M549" s="15" t="str">
        <f>"'Measure SI-111 output of thermopile.  VoltDiff(Dest, Reps, Range, DiffChan, RevDiff, SettlingTime, Integ, Mult, Offset)"</f>
        <v>'Measure SI-111 output of thermopile.  VoltDiff(Dest, Reps, Range, DiffChan, RevDiff, SettlingTime, Integ, Mult, Offset)</v>
      </c>
      <c r="N549" s="15"/>
      <c r="O549" s="15"/>
    </row>
    <row r="550" spans="1:15" x14ac:dyDescent="0.25">
      <c r="A550" t="str">
        <f>"VoltDiff(TTmV("</f>
        <v>VoltDiff(TTmV(</v>
      </c>
      <c r="B550">
        <f>C545</f>
        <v>18</v>
      </c>
      <c r="C550" t="s">
        <v>131</v>
      </c>
      <c r="D550">
        <f>VLOOKUP("MUXDiffChannel",MUXChans,A545+1,FALSE)</f>
        <v>3</v>
      </c>
      <c r="E550" t="s">
        <v>132</v>
      </c>
      <c r="I550" s="15"/>
      <c r="J550" s="15"/>
      <c r="K550" s="15"/>
      <c r="L550" s="15"/>
      <c r="M550" s="15" t="str">
        <f>CONCATENATE(A550,B550,C550,D550,E550)</f>
        <v>VoltDiff(TTmV(18),1,mV2_5,3,True,0,_60Hz,1,0,)</v>
      </c>
      <c r="N550" s="15"/>
      <c r="O550" s="15"/>
    </row>
    <row r="551" spans="1:15" x14ac:dyDescent="0.25">
      <c r="B551" s="7">
        <v>6</v>
      </c>
      <c r="D551" s="7">
        <v>7</v>
      </c>
      <c r="F551" s="7">
        <v>8</v>
      </c>
      <c r="I551" s="15"/>
      <c r="J551" s="15"/>
      <c r="K551" s="15"/>
      <c r="L551" s="15"/>
      <c r="M551" s="15" t="s">
        <v>15</v>
      </c>
      <c r="N551" s="15"/>
      <c r="O551" s="15"/>
    </row>
    <row r="552" spans="1:15" x14ac:dyDescent="0.25">
      <c r="A552" t="str">
        <f>CONCATENATE("m","(",C545,")=")</f>
        <v>m(18)=</v>
      </c>
      <c r="B552">
        <f>VLOOKUP($C545,SensorCoeffs,B551,FALSE)</f>
        <v>1340100000</v>
      </c>
      <c r="C552" t="str">
        <f>"+("</f>
        <v>+(</v>
      </c>
      <c r="D552">
        <f>VLOOKUP($C545,SensorCoeffs,D551,FALSE)</f>
        <v>6959910</v>
      </c>
      <c r="E552" t="str">
        <f>CONCATENATE("*SBT_C","(",C545,")",")+(")</f>
        <v>*SBT_C(18))+(</v>
      </c>
      <c r="F552">
        <f>VLOOKUP($C545,SensorCoeffs,F551,FALSE)</f>
        <v>74279.899999999994</v>
      </c>
      <c r="G552" t="str">
        <f>CONCATENATE("*SBT_C","(",C545,")^2)")</f>
        <v>*SBT_C(18)^2)</v>
      </c>
      <c r="I552" s="15"/>
      <c r="J552" s="15"/>
      <c r="K552" s="15"/>
      <c r="L552" s="15"/>
      <c r="M552" s="15" t="str">
        <f>CONCATENATE(A552,B552,C552,D552,E552,F552,G552)</f>
        <v>m(18)=1340100000+(6959910*SBT_C(18))+(74279.9*SBT_C(18)^2)</v>
      </c>
      <c r="N552" s="15"/>
      <c r="O552" s="15"/>
    </row>
    <row r="553" spans="1:15" x14ac:dyDescent="0.25">
      <c r="A553" t="str">
        <f>CONCATENATE("b","(",C545,")=")</f>
        <v>b(18)=</v>
      </c>
      <c r="B553">
        <f>VLOOKUP($C545,SensorCoeffs,B551+3,FALSE)</f>
        <v>-683085</v>
      </c>
      <c r="C553" t="str">
        <f>"+("</f>
        <v>+(</v>
      </c>
      <c r="D553">
        <f>VLOOKUP($C545,SensorCoeffs,D551+3,FALSE)</f>
        <v>70789.2</v>
      </c>
      <c r="E553" t="str">
        <f>CONCATENATE("*SBT_C","(",C545,")",")+(")</f>
        <v>*SBT_C(18))+(</v>
      </c>
      <c r="F553">
        <f>VLOOKUP($C545,SensorCoeffs,F551+3,FALSE)</f>
        <v>13195.5</v>
      </c>
      <c r="G553" t="str">
        <f>CONCATENATE("*SBT_C","(",C545,")^2)")</f>
        <v>*SBT_C(18)^2)</v>
      </c>
      <c r="I553" s="15"/>
      <c r="J553" s="15"/>
      <c r="K553" s="15"/>
      <c r="L553" s="15"/>
      <c r="M553" s="15" t="str">
        <f>CONCATENATE(A553,B553,C553,D553,E553,F553,G553)</f>
        <v>b(18)=-683085+(70789.2*SBT_C(18))+(13195.5*SBT_C(18)^2)</v>
      </c>
      <c r="N553" s="15"/>
      <c r="O553" s="15"/>
    </row>
    <row r="554" spans="1:15" x14ac:dyDescent="0.25">
      <c r="I554" s="15"/>
      <c r="J554" s="15"/>
      <c r="K554" s="15"/>
      <c r="L554" s="15"/>
      <c r="M554" s="15" t="s">
        <v>16</v>
      </c>
      <c r="N554" s="15"/>
      <c r="O554" s="15"/>
    </row>
    <row r="555" spans="1:15" x14ac:dyDescent="0.25">
      <c r="A555" t="str">
        <f>"SBT_K("</f>
        <v>SBT_K(</v>
      </c>
      <c r="B555">
        <f>C545</f>
        <v>18</v>
      </c>
      <c r="C555" t="str">
        <f>")=SBT_C("</f>
        <v>)=SBT_C(</v>
      </c>
      <c r="D555">
        <f>C545</f>
        <v>18</v>
      </c>
      <c r="E555" t="s">
        <v>49</v>
      </c>
      <c r="I555" s="15"/>
      <c r="J555" s="15"/>
      <c r="K555" s="15"/>
      <c r="L555" s="15"/>
      <c r="M555" s="15" t="str">
        <f>CONCATENATE(A555,B555,C555,D555,E555)</f>
        <v>SBT_K(18)=SBT_C(18)+273.15</v>
      </c>
      <c r="N555" s="15"/>
      <c r="O555" s="15"/>
    </row>
    <row r="556" spans="1:15" x14ac:dyDescent="0.25">
      <c r="A556" t="str">
        <f>"TT_K("</f>
        <v>TT_K(</v>
      </c>
      <c r="B556">
        <f>C545</f>
        <v>18</v>
      </c>
      <c r="C556" t="str">
        <f>")=SBT_K("</f>
        <v>)=SBT_K(</v>
      </c>
      <c r="D556">
        <f>C545</f>
        <v>18</v>
      </c>
      <c r="E556" t="str">
        <f>CONCATENATE(")^4+TTmV","(",C545,")")</f>
        <v>)^4+TTmV(18)</v>
      </c>
      <c r="F556" t="str">
        <f>CONCATENATE("*m","(",C545,")")</f>
        <v>*m(18)</v>
      </c>
      <c r="G556" t="str">
        <f>CONCATENATE("+b","(",C545,")")</f>
        <v>+b(18)</v>
      </c>
      <c r="I556" s="15"/>
      <c r="J556" s="15"/>
      <c r="K556" s="15"/>
      <c r="L556" s="15"/>
      <c r="M556" s="15" t="str">
        <f>CONCATENATE(A556,B556,C556,D556,E556,F556,G556)</f>
        <v>TT_K(18)=SBT_K(18)^4+TTmV(18)*m(18)+b(18)</v>
      </c>
      <c r="N556" s="15"/>
      <c r="O556" s="15"/>
    </row>
    <row r="557" spans="1:15" x14ac:dyDescent="0.25">
      <c r="A557" t="str">
        <f>CONCATENATE("TT_K(")</f>
        <v>TT_K(</v>
      </c>
      <c r="B557">
        <f>C545</f>
        <v>18</v>
      </c>
      <c r="C557" t="str">
        <f>")=SQR(SQR(TT_K("</f>
        <v>)=SQR(SQR(TT_K(</v>
      </c>
      <c r="D557">
        <f>C545</f>
        <v>18</v>
      </c>
      <c r="E557" t="s">
        <v>80</v>
      </c>
      <c r="I557" s="15"/>
      <c r="J557" s="15"/>
      <c r="K557" s="15"/>
      <c r="L557" s="15"/>
      <c r="M557" s="15" t="str">
        <f>CONCATENATE(A557,B557,C557,D557,E557)</f>
        <v>TT_K(18)=SQR(SQR(TT_K(18)))</v>
      </c>
      <c r="N557" s="15"/>
      <c r="O557" s="15"/>
    </row>
    <row r="558" spans="1:15" x14ac:dyDescent="0.25">
      <c r="I558" s="15"/>
      <c r="J558" s="15"/>
      <c r="K558" s="15"/>
      <c r="L558" s="15"/>
      <c r="M558" s="15" t="s">
        <v>17</v>
      </c>
      <c r="N558" s="15"/>
      <c r="O558" s="15"/>
    </row>
    <row r="559" spans="1:15" x14ac:dyDescent="0.25">
      <c r="A559" t="str">
        <f>"TT_C("</f>
        <v>TT_C(</v>
      </c>
      <c r="B559">
        <f>C545</f>
        <v>18</v>
      </c>
      <c r="C559" t="str">
        <f>")=TT_K("</f>
        <v>)=TT_K(</v>
      </c>
      <c r="D559">
        <f>C545</f>
        <v>18</v>
      </c>
      <c r="E559" t="s">
        <v>52</v>
      </c>
      <c r="I559" s="15"/>
      <c r="J559" s="15"/>
      <c r="K559" s="15"/>
      <c r="L559" s="15"/>
      <c r="M559" s="15" t="str">
        <f>CONCATENATE(A559,B559,C559,D559,E559)</f>
        <v>TT_C(18)=TT_K(18)-273.15</v>
      </c>
      <c r="N559" s="15"/>
      <c r="O559" s="15"/>
    </row>
    <row r="560" spans="1:15" ht="15.75" thickBot="1" x14ac:dyDescent="0.3">
      <c r="A560" s="1" t="s">
        <v>200</v>
      </c>
      <c r="B560" s="1" t="s">
        <v>34</v>
      </c>
      <c r="C560" s="1" t="s">
        <v>35</v>
      </c>
      <c r="D560" s="1"/>
      <c r="E560" s="1"/>
      <c r="F560" s="1"/>
      <c r="G560" s="1"/>
      <c r="I560" s="15"/>
      <c r="J560" s="15"/>
      <c r="K560" s="15"/>
      <c r="L560" s="17" t="str">
        <f>"'Switch on next AM416 Multiplexer channel.  PulsePort(DataLogger channel C#, Delay)"</f>
        <v>'Switch on next AM416 Multiplexer channel.  PulsePort(DataLogger channel C#, Delay)</v>
      </c>
      <c r="M560" s="15"/>
      <c r="N560" s="15"/>
      <c r="O560" s="15"/>
    </row>
    <row r="561" spans="1:15" ht="16.5" thickBot="1" x14ac:dyDescent="0.3">
      <c r="A561" s="5">
        <f>A545</f>
        <v>2</v>
      </c>
      <c r="B561" s="5">
        <f>B545+1</f>
        <v>3</v>
      </c>
      <c r="C561" s="6">
        <f>C545+1</f>
        <v>19</v>
      </c>
      <c r="D561" s="84" t="s">
        <v>243</v>
      </c>
      <c r="E561" s="85"/>
      <c r="F561" s="85"/>
      <c r="G561" s="86"/>
      <c r="I561" s="15"/>
      <c r="J561" s="15"/>
      <c r="K561" s="15"/>
      <c r="L561" s="15" t="str">
        <f>"PulsePort("&amp;ClockComChannel&amp;",10000)"</f>
        <v>PulsePort(1,10000)</v>
      </c>
      <c r="M561" s="15"/>
      <c r="N561" s="15"/>
      <c r="O561" s="15"/>
    </row>
    <row r="562" spans="1:15" x14ac:dyDescent="0.25">
      <c r="I562" s="15"/>
      <c r="J562" s="15"/>
      <c r="K562" s="15"/>
      <c r="L562" s="15"/>
      <c r="M562" s="15" t="s">
        <v>22</v>
      </c>
      <c r="N562" s="15"/>
      <c r="O562" s="15"/>
    </row>
    <row r="563" spans="1:15" x14ac:dyDescent="0.25">
      <c r="I563" s="15"/>
      <c r="J563" s="15"/>
      <c r="K563" s="15"/>
      <c r="L563" s="15"/>
      <c r="M563" s="15" t="str">
        <f>"'Measure SI-111 sensor body thermistor temperature.  Therm109 (Dest, Reps, SEChan, VX/ExChan, SettlingTime, Integ, Mult, Offset)"</f>
        <v>'Measure SI-111 sensor body thermistor temperature.  Therm109 (Dest, Reps, SEChan, VX/ExChan, SettlingTime, Integ, Mult, Offset)</v>
      </c>
      <c r="N563" s="15"/>
      <c r="O563" s="15"/>
    </row>
    <row r="564" spans="1:15" x14ac:dyDescent="0.25">
      <c r="A564" t="str">
        <f>"Therm109(SBT_C("</f>
        <v>Therm109(SBT_C(</v>
      </c>
      <c r="B564">
        <f>C561</f>
        <v>19</v>
      </c>
      <c r="C564" t="s">
        <v>130</v>
      </c>
      <c r="D564">
        <f>VLOOKUP("MUXSEChannel",MUXChans,A561+1,FALSE)</f>
        <v>4</v>
      </c>
      <c r="E564" t="s">
        <v>46</v>
      </c>
      <c r="F564" t="str">
        <f>"VX"&amp;VLOOKUP("MUXVXChannel",MUXChannnels,A561+1,FALSE)</f>
        <v>VX3</v>
      </c>
      <c r="G564" t="s">
        <v>133</v>
      </c>
      <c r="I564" s="15"/>
      <c r="J564" s="15"/>
      <c r="K564" s="15"/>
      <c r="L564" s="15"/>
      <c r="M564" s="15" t="str">
        <f>CONCATENATE(A564,B564,C564,D564,E564,F564,G564)</f>
        <v>Therm109(SBT_C(19),1,4,VX3,0,_60Hz,1,0)</v>
      </c>
      <c r="N564" s="15"/>
      <c r="O564" s="15"/>
    </row>
    <row r="565" spans="1:15" x14ac:dyDescent="0.25">
      <c r="I565" s="15"/>
      <c r="J565" s="15"/>
      <c r="K565" s="15"/>
      <c r="L565" s="15"/>
      <c r="M565" s="15" t="str">
        <f>"'Measure SI-111 output of thermopile.  VoltDiff(Dest, Reps, Range, DiffChan, RevDiff, SettlingTime, Integ, Mult, Offset)"</f>
        <v>'Measure SI-111 output of thermopile.  VoltDiff(Dest, Reps, Range, DiffChan, RevDiff, SettlingTime, Integ, Mult, Offset)</v>
      </c>
      <c r="N565" s="15"/>
      <c r="O565" s="15"/>
    </row>
    <row r="566" spans="1:15" x14ac:dyDescent="0.25">
      <c r="A566" t="str">
        <f>"VoltDiff(TTmV("</f>
        <v>VoltDiff(TTmV(</v>
      </c>
      <c r="B566">
        <f>C561</f>
        <v>19</v>
      </c>
      <c r="C566" t="s">
        <v>131</v>
      </c>
      <c r="D566">
        <f>VLOOKUP("MUXDiffChannel",MUXChans,A561+1,FALSE)</f>
        <v>3</v>
      </c>
      <c r="E566" t="s">
        <v>132</v>
      </c>
      <c r="I566" s="15"/>
      <c r="J566" s="15"/>
      <c r="K566" s="15"/>
      <c r="L566" s="15"/>
      <c r="M566" s="15" t="str">
        <f>CONCATENATE(A566,B566,C566,D566,E566)</f>
        <v>VoltDiff(TTmV(19),1,mV2_5,3,True,0,_60Hz,1,0,)</v>
      </c>
      <c r="N566" s="15"/>
      <c r="O566" s="15"/>
    </row>
    <row r="567" spans="1:15" x14ac:dyDescent="0.25">
      <c r="B567" s="7">
        <v>6</v>
      </c>
      <c r="D567" s="7">
        <v>7</v>
      </c>
      <c r="F567" s="7">
        <v>8</v>
      </c>
      <c r="I567" s="15"/>
      <c r="J567" s="15"/>
      <c r="K567" s="15"/>
      <c r="L567" s="15"/>
      <c r="M567" s="15" t="s">
        <v>15</v>
      </c>
      <c r="N567" s="15"/>
      <c r="O567" s="15"/>
    </row>
    <row r="568" spans="1:15" x14ac:dyDescent="0.25">
      <c r="A568" t="str">
        <f>CONCATENATE("m","(",C561,")=")</f>
        <v>m(19)=</v>
      </c>
      <c r="B568">
        <f>VLOOKUP($C561,SensorCoeffs,B567,FALSE)</f>
        <v>1321320000</v>
      </c>
      <c r="C568" t="str">
        <f>"+("</f>
        <v>+(</v>
      </c>
      <c r="D568">
        <f>VLOOKUP($C561,SensorCoeffs,D567,FALSE)</f>
        <v>6942310</v>
      </c>
      <c r="E568" t="str">
        <f>CONCATENATE("*SBT_C","(",C561,")",")+(")</f>
        <v>*SBT_C(19))+(</v>
      </c>
      <c r="F568">
        <f>VLOOKUP($C561,SensorCoeffs,F567,FALSE)</f>
        <v>77904.100000000006</v>
      </c>
      <c r="G568" t="str">
        <f>CONCATENATE("*SBT_C","(",C561,")^2)")</f>
        <v>*SBT_C(19)^2)</v>
      </c>
      <c r="I568" s="15"/>
      <c r="J568" s="15"/>
      <c r="K568" s="15"/>
      <c r="L568" s="15"/>
      <c r="M568" s="15" t="str">
        <f>CONCATENATE(A568,B568,C568,D568,E568,F568,G568)</f>
        <v>m(19)=1321320000+(6942310*SBT_C(19))+(77904.1*SBT_C(19)^2)</v>
      </c>
      <c r="N568" s="15"/>
      <c r="O568" s="15"/>
    </row>
    <row r="569" spans="1:15" x14ac:dyDescent="0.25">
      <c r="A569" t="str">
        <f>CONCATENATE("b","(",C561,")=")</f>
        <v>b(19)=</v>
      </c>
      <c r="B569">
        <f>VLOOKUP($C561,SensorCoeffs,B567+3,FALSE)</f>
        <v>-9474180</v>
      </c>
      <c r="C569" t="str">
        <f>"+("</f>
        <v>+(</v>
      </c>
      <c r="D569">
        <f>VLOOKUP($C561,SensorCoeffs,D567+3,FALSE)</f>
        <v>85649.1</v>
      </c>
      <c r="E569" t="str">
        <f>CONCATENATE("*SBT_C","(",C561,")",")+(")</f>
        <v>*SBT_C(19))+(</v>
      </c>
      <c r="F569">
        <f>VLOOKUP($C561,SensorCoeffs,F567+3,FALSE)</f>
        <v>12783</v>
      </c>
      <c r="G569" t="str">
        <f>CONCATENATE("*SBT_C","(",C561,")^2)")</f>
        <v>*SBT_C(19)^2)</v>
      </c>
      <c r="I569" s="15"/>
      <c r="J569" s="15"/>
      <c r="K569" s="15"/>
      <c r="L569" s="15"/>
      <c r="M569" s="15" t="str">
        <f>CONCATENATE(A569,B569,C569,D569,E569,F569,G569)</f>
        <v>b(19)=-9474180+(85649.1*SBT_C(19))+(12783*SBT_C(19)^2)</v>
      </c>
      <c r="N569" s="15"/>
      <c r="O569" s="15"/>
    </row>
    <row r="570" spans="1:15" x14ac:dyDescent="0.25">
      <c r="I570" s="15"/>
      <c r="J570" s="15"/>
      <c r="K570" s="15"/>
      <c r="L570" s="15"/>
      <c r="M570" s="15" t="s">
        <v>16</v>
      </c>
      <c r="N570" s="15"/>
      <c r="O570" s="15"/>
    </row>
    <row r="571" spans="1:15" x14ac:dyDescent="0.25">
      <c r="A571" t="str">
        <f>"SBT_K("</f>
        <v>SBT_K(</v>
      </c>
      <c r="B571">
        <f>C561</f>
        <v>19</v>
      </c>
      <c r="C571" t="str">
        <f>")=SBT_C("</f>
        <v>)=SBT_C(</v>
      </c>
      <c r="D571">
        <f>C561</f>
        <v>19</v>
      </c>
      <c r="E571" t="s">
        <v>49</v>
      </c>
      <c r="I571" s="15"/>
      <c r="J571" s="15"/>
      <c r="K571" s="15"/>
      <c r="L571" s="15"/>
      <c r="M571" s="15" t="str">
        <f>CONCATENATE(A571,B571,C571,D571,E571)</f>
        <v>SBT_K(19)=SBT_C(19)+273.15</v>
      </c>
      <c r="N571" s="15"/>
      <c r="O571" s="15"/>
    </row>
    <row r="572" spans="1:15" x14ac:dyDescent="0.25">
      <c r="A572" t="str">
        <f>"TT_K("</f>
        <v>TT_K(</v>
      </c>
      <c r="B572">
        <f>C561</f>
        <v>19</v>
      </c>
      <c r="C572" t="str">
        <f>")=SBT_K("</f>
        <v>)=SBT_K(</v>
      </c>
      <c r="D572">
        <f>C561</f>
        <v>19</v>
      </c>
      <c r="E572" t="str">
        <f>CONCATENATE(")^4+TTmV","(",C561,")")</f>
        <v>)^4+TTmV(19)</v>
      </c>
      <c r="F572" t="str">
        <f>CONCATENATE("*m","(",C561,")")</f>
        <v>*m(19)</v>
      </c>
      <c r="G572" t="str">
        <f>CONCATENATE("+b","(",C561,")")</f>
        <v>+b(19)</v>
      </c>
      <c r="I572" s="15"/>
      <c r="J572" s="15"/>
      <c r="K572" s="15"/>
      <c r="L572" s="15"/>
      <c r="M572" s="15" t="str">
        <f>CONCATENATE(A572,B572,C572,D572,E572,F572,G572)</f>
        <v>TT_K(19)=SBT_K(19)^4+TTmV(19)*m(19)+b(19)</v>
      </c>
      <c r="N572" s="15"/>
      <c r="O572" s="15"/>
    </row>
    <row r="573" spans="1:15" x14ac:dyDescent="0.25">
      <c r="A573" t="str">
        <f>CONCATENATE("TT_K(")</f>
        <v>TT_K(</v>
      </c>
      <c r="B573">
        <f>C561</f>
        <v>19</v>
      </c>
      <c r="C573" t="str">
        <f>")=SQR(SQR(TT_K("</f>
        <v>)=SQR(SQR(TT_K(</v>
      </c>
      <c r="D573">
        <f>C561</f>
        <v>19</v>
      </c>
      <c r="E573" t="s">
        <v>80</v>
      </c>
      <c r="I573" s="15"/>
      <c r="J573" s="15"/>
      <c r="K573" s="15"/>
      <c r="L573" s="15"/>
      <c r="M573" s="15" t="str">
        <f>CONCATENATE(A573,B573,C573,D573,E573)</f>
        <v>TT_K(19)=SQR(SQR(TT_K(19)))</v>
      </c>
      <c r="N573" s="15"/>
      <c r="O573" s="15"/>
    </row>
    <row r="574" spans="1:15" x14ac:dyDescent="0.25">
      <c r="I574" s="15"/>
      <c r="J574" s="15"/>
      <c r="K574" s="15"/>
      <c r="L574" s="15"/>
      <c r="M574" s="15" t="s">
        <v>17</v>
      </c>
      <c r="N574" s="15"/>
      <c r="O574" s="15"/>
    </row>
    <row r="575" spans="1:15" x14ac:dyDescent="0.25">
      <c r="A575" t="str">
        <f>"TT_C("</f>
        <v>TT_C(</v>
      </c>
      <c r="B575">
        <f>C561</f>
        <v>19</v>
      </c>
      <c r="C575" t="str">
        <f>")=TT_K("</f>
        <v>)=TT_K(</v>
      </c>
      <c r="D575">
        <f>C561</f>
        <v>19</v>
      </c>
      <c r="E575" t="s">
        <v>52</v>
      </c>
      <c r="I575" s="15"/>
      <c r="J575" s="15"/>
      <c r="K575" s="15"/>
      <c r="L575" s="15"/>
      <c r="M575" s="15" t="str">
        <f>CONCATENATE(A575,B575,C575,D575,E575)</f>
        <v>TT_C(19)=TT_K(19)-273.15</v>
      </c>
      <c r="N575" s="15"/>
      <c r="O575" s="15"/>
    </row>
    <row r="576" spans="1:15" ht="15.75" thickBot="1" x14ac:dyDescent="0.3">
      <c r="A576" s="1" t="s">
        <v>200</v>
      </c>
      <c r="B576" s="1" t="s">
        <v>34</v>
      </c>
      <c r="C576" s="1" t="s">
        <v>35</v>
      </c>
      <c r="D576" s="1"/>
      <c r="E576" s="1"/>
      <c r="F576" s="1"/>
      <c r="G576" s="1"/>
      <c r="I576" s="15"/>
      <c r="J576" s="15"/>
      <c r="K576" s="15"/>
      <c r="L576" s="17" t="str">
        <f>"'Switch on next AM416 Multiplexer channel.  PulsePort(DataLogger channel C#, Delay)"</f>
        <v>'Switch on next AM416 Multiplexer channel.  PulsePort(DataLogger channel C#, Delay)</v>
      </c>
      <c r="M576" s="15"/>
      <c r="N576" s="15"/>
      <c r="O576" s="15"/>
    </row>
    <row r="577" spans="1:15" ht="16.5" thickBot="1" x14ac:dyDescent="0.3">
      <c r="A577" s="5">
        <f>A561</f>
        <v>2</v>
      </c>
      <c r="B577" s="5">
        <f>B561+1</f>
        <v>4</v>
      </c>
      <c r="C577" s="6">
        <f>C561+1</f>
        <v>20</v>
      </c>
      <c r="D577" s="84" t="s">
        <v>243</v>
      </c>
      <c r="E577" s="85"/>
      <c r="F577" s="85"/>
      <c r="G577" s="86"/>
      <c r="I577" s="15"/>
      <c r="J577" s="15"/>
      <c r="K577" s="15"/>
      <c r="L577" s="15" t="str">
        <f>"PulsePort("&amp;ClockComChannel&amp;",10000)"</f>
        <v>PulsePort(1,10000)</v>
      </c>
      <c r="M577" s="15"/>
      <c r="N577" s="15"/>
      <c r="O577" s="15"/>
    </row>
    <row r="578" spans="1:15" x14ac:dyDescent="0.25">
      <c r="I578" s="15"/>
      <c r="J578" s="15"/>
      <c r="K578" s="15"/>
      <c r="L578" s="15"/>
      <c r="M578" s="15" t="s">
        <v>22</v>
      </c>
      <c r="N578" s="15"/>
      <c r="O578" s="15"/>
    </row>
    <row r="579" spans="1:15" x14ac:dyDescent="0.25">
      <c r="I579" s="15"/>
      <c r="J579" s="15"/>
      <c r="K579" s="15"/>
      <c r="L579" s="15"/>
      <c r="M579" s="15" t="str">
        <f>"'Measure SI-111 sensor body thermistor temperature.  Therm109 (Dest, Reps, SEChan, VX/ExChan, SettlingTime, Integ, Mult, Offset)"</f>
        <v>'Measure SI-111 sensor body thermistor temperature.  Therm109 (Dest, Reps, SEChan, VX/ExChan, SettlingTime, Integ, Mult, Offset)</v>
      </c>
      <c r="N579" s="15"/>
      <c r="O579" s="15"/>
    </row>
    <row r="580" spans="1:15" x14ac:dyDescent="0.25">
      <c r="A580" t="str">
        <f>"Therm109(SBT_C("</f>
        <v>Therm109(SBT_C(</v>
      </c>
      <c r="B580">
        <f>C577</f>
        <v>20</v>
      </c>
      <c r="C580" t="s">
        <v>130</v>
      </c>
      <c r="D580">
        <f>VLOOKUP("MUXSEChannel",MUXChans,A577+1,FALSE)</f>
        <v>4</v>
      </c>
      <c r="E580" t="s">
        <v>46</v>
      </c>
      <c r="F580" t="str">
        <f>"VX"&amp;VLOOKUP("MUXVXChannel",MUXChannnels,A577+1,FALSE)</f>
        <v>VX3</v>
      </c>
      <c r="G580" t="s">
        <v>133</v>
      </c>
      <c r="I580" s="15"/>
      <c r="J580" s="15"/>
      <c r="K580" s="15"/>
      <c r="L580" s="15"/>
      <c r="M580" s="15" t="str">
        <f>CONCATENATE(A580,B580,C580,D580,E580,F580,G580)</f>
        <v>Therm109(SBT_C(20),1,4,VX3,0,_60Hz,1,0)</v>
      </c>
      <c r="N580" s="15"/>
      <c r="O580" s="15"/>
    </row>
    <row r="581" spans="1:15" x14ac:dyDescent="0.25">
      <c r="I581" s="15"/>
      <c r="J581" s="15"/>
      <c r="K581" s="15"/>
      <c r="L581" s="15"/>
      <c r="M581" s="15" t="str">
        <f>"'Measure SI-111 output of thermopile.  VoltDiff(Dest, Reps, Range, DiffChan, RevDiff, SettlingTime, Integ, Mult, Offset)"</f>
        <v>'Measure SI-111 output of thermopile.  VoltDiff(Dest, Reps, Range, DiffChan, RevDiff, SettlingTime, Integ, Mult, Offset)</v>
      </c>
      <c r="N581" s="15"/>
      <c r="O581" s="15"/>
    </row>
    <row r="582" spans="1:15" x14ac:dyDescent="0.25">
      <c r="A582" t="str">
        <f>"VoltDiff(TTmV("</f>
        <v>VoltDiff(TTmV(</v>
      </c>
      <c r="B582">
        <f>C577</f>
        <v>20</v>
      </c>
      <c r="C582" t="s">
        <v>131</v>
      </c>
      <c r="D582">
        <f>VLOOKUP("MUXDiffChannel",MUXChans,A577+1,FALSE)</f>
        <v>3</v>
      </c>
      <c r="E582" t="s">
        <v>132</v>
      </c>
      <c r="I582" s="15"/>
      <c r="J582" s="15"/>
      <c r="K582" s="15"/>
      <c r="L582" s="15"/>
      <c r="M582" s="15" t="str">
        <f>CONCATENATE(A582,B582,C582,D582,E582)</f>
        <v>VoltDiff(TTmV(20),1,mV2_5,3,True,0,_60Hz,1,0,)</v>
      </c>
      <c r="N582" s="15"/>
      <c r="O582" s="15"/>
    </row>
    <row r="583" spans="1:15" x14ac:dyDescent="0.25">
      <c r="B583" s="7">
        <v>6</v>
      </c>
      <c r="D583" s="7">
        <v>7</v>
      </c>
      <c r="F583" s="7">
        <v>8</v>
      </c>
      <c r="I583" s="15"/>
      <c r="J583" s="15"/>
      <c r="K583" s="15"/>
      <c r="L583" s="15"/>
      <c r="M583" s="15" t="s">
        <v>15</v>
      </c>
      <c r="N583" s="15"/>
      <c r="O583" s="15"/>
    </row>
    <row r="584" spans="1:15" x14ac:dyDescent="0.25">
      <c r="A584" t="str">
        <f>CONCATENATE("m","(",C577,")=")</f>
        <v>m(20)=</v>
      </c>
      <c r="B584">
        <f>VLOOKUP($C577,SensorCoeffs,B583,FALSE)</f>
        <v>1414580000</v>
      </c>
      <c r="C584" t="str">
        <f>"+("</f>
        <v>+(</v>
      </c>
      <c r="D584">
        <f>VLOOKUP($C577,SensorCoeffs,D583,FALSE)</f>
        <v>7496330</v>
      </c>
      <c r="E584" t="str">
        <f>CONCATENATE("*SBT_C","(",C577,")",")+(")</f>
        <v>*SBT_C(20))+(</v>
      </c>
      <c r="F584">
        <f>VLOOKUP($C577,SensorCoeffs,F583,FALSE)</f>
        <v>79768.7</v>
      </c>
      <c r="G584" t="str">
        <f>CONCATENATE("*SBT_C","(",C577,")^2)")</f>
        <v>*SBT_C(20)^2)</v>
      </c>
      <c r="I584" s="15"/>
      <c r="J584" s="15"/>
      <c r="K584" s="15"/>
      <c r="L584" s="15"/>
      <c r="M584" s="15" t="str">
        <f>CONCATENATE(A584,B584,C584,D584,E584,F584,G584)</f>
        <v>m(20)=1414580000+(7496330*SBT_C(20))+(79768.7*SBT_C(20)^2)</v>
      </c>
      <c r="N584" s="15"/>
      <c r="O584" s="15"/>
    </row>
    <row r="585" spans="1:15" x14ac:dyDescent="0.25">
      <c r="A585" t="str">
        <f>CONCATENATE("b","(",C577,")=")</f>
        <v>b(20)=</v>
      </c>
      <c r="B585">
        <f>VLOOKUP($C577,SensorCoeffs,B583+3,FALSE)</f>
        <v>-4488640</v>
      </c>
      <c r="C585" t="str">
        <f>"+("</f>
        <v>+(</v>
      </c>
      <c r="D585">
        <f>VLOOKUP($C577,SensorCoeffs,D583+3,FALSE)</f>
        <v>127752</v>
      </c>
      <c r="E585" t="str">
        <f>CONCATENATE("*SBT_C","(",C577,")",")+(")</f>
        <v>*SBT_C(20))+(</v>
      </c>
      <c r="F585">
        <f>VLOOKUP($C577,SensorCoeffs,F583+3,FALSE)</f>
        <v>14089.7</v>
      </c>
      <c r="G585" t="str">
        <f>CONCATENATE("*SBT_C","(",C577,")^2)")</f>
        <v>*SBT_C(20)^2)</v>
      </c>
      <c r="I585" s="15"/>
      <c r="J585" s="15"/>
      <c r="K585" s="15"/>
      <c r="L585" s="15"/>
      <c r="M585" s="15" t="str">
        <f>CONCATENATE(A585,B585,C585,D585,E585,F585,G585)</f>
        <v>b(20)=-4488640+(127752*SBT_C(20))+(14089.7*SBT_C(20)^2)</v>
      </c>
      <c r="N585" s="15"/>
      <c r="O585" s="15"/>
    </row>
    <row r="586" spans="1:15" x14ac:dyDescent="0.25">
      <c r="I586" s="15"/>
      <c r="J586" s="15"/>
      <c r="K586" s="15"/>
      <c r="L586" s="15"/>
      <c r="M586" s="15" t="s">
        <v>16</v>
      </c>
      <c r="N586" s="15"/>
      <c r="O586" s="15"/>
    </row>
    <row r="587" spans="1:15" x14ac:dyDescent="0.25">
      <c r="A587" t="str">
        <f>"SBT_K("</f>
        <v>SBT_K(</v>
      </c>
      <c r="B587">
        <f>C577</f>
        <v>20</v>
      </c>
      <c r="C587" t="str">
        <f>")=SBT_C("</f>
        <v>)=SBT_C(</v>
      </c>
      <c r="D587">
        <f>C577</f>
        <v>20</v>
      </c>
      <c r="E587" t="s">
        <v>49</v>
      </c>
      <c r="I587" s="15"/>
      <c r="J587" s="15"/>
      <c r="K587" s="15"/>
      <c r="L587" s="15"/>
      <c r="M587" s="15" t="str">
        <f>CONCATENATE(A587,B587,C587,D587,E587)</f>
        <v>SBT_K(20)=SBT_C(20)+273.15</v>
      </c>
      <c r="N587" s="15"/>
      <c r="O587" s="15"/>
    </row>
    <row r="588" spans="1:15" x14ac:dyDescent="0.25">
      <c r="A588" t="str">
        <f>"TT_K("</f>
        <v>TT_K(</v>
      </c>
      <c r="B588">
        <f>C577</f>
        <v>20</v>
      </c>
      <c r="C588" t="str">
        <f>")=SBT_K("</f>
        <v>)=SBT_K(</v>
      </c>
      <c r="D588">
        <f>C577</f>
        <v>20</v>
      </c>
      <c r="E588" t="str">
        <f>CONCATENATE(")^4+TTmV","(",C577,")")</f>
        <v>)^4+TTmV(20)</v>
      </c>
      <c r="F588" t="str">
        <f>CONCATENATE("*m","(",C577,")")</f>
        <v>*m(20)</v>
      </c>
      <c r="G588" t="str">
        <f>CONCATENATE("+b","(",C577,")")</f>
        <v>+b(20)</v>
      </c>
      <c r="I588" s="15"/>
      <c r="J588" s="15"/>
      <c r="K588" s="15"/>
      <c r="L588" s="15"/>
      <c r="M588" s="15" t="str">
        <f>CONCATENATE(A588,B588,C588,D588,E588,F588,G588)</f>
        <v>TT_K(20)=SBT_K(20)^4+TTmV(20)*m(20)+b(20)</v>
      </c>
      <c r="N588" s="15"/>
      <c r="O588" s="15"/>
    </row>
    <row r="589" spans="1:15" x14ac:dyDescent="0.25">
      <c r="A589" t="str">
        <f>CONCATENATE("TT_K(")</f>
        <v>TT_K(</v>
      </c>
      <c r="B589">
        <f>C577</f>
        <v>20</v>
      </c>
      <c r="C589" t="str">
        <f>")=SQR(SQR(TT_K("</f>
        <v>)=SQR(SQR(TT_K(</v>
      </c>
      <c r="D589">
        <f>C577</f>
        <v>20</v>
      </c>
      <c r="E589" t="s">
        <v>80</v>
      </c>
      <c r="I589" s="15"/>
      <c r="J589" s="15"/>
      <c r="K589" s="15"/>
      <c r="L589" s="15"/>
      <c r="M589" s="15" t="str">
        <f>CONCATENATE(A589,B589,C589,D589,E589)</f>
        <v>TT_K(20)=SQR(SQR(TT_K(20)))</v>
      </c>
      <c r="N589" s="15"/>
      <c r="O589" s="15"/>
    </row>
    <row r="590" spans="1:15" x14ac:dyDescent="0.25">
      <c r="I590" s="15"/>
      <c r="J590" s="15"/>
      <c r="K590" s="15"/>
      <c r="L590" s="15"/>
      <c r="M590" s="15" t="s">
        <v>17</v>
      </c>
      <c r="N590" s="15"/>
      <c r="O590" s="15"/>
    </row>
    <row r="591" spans="1:15" x14ac:dyDescent="0.25">
      <c r="A591" t="str">
        <f>"TT_C("</f>
        <v>TT_C(</v>
      </c>
      <c r="B591">
        <f>C577</f>
        <v>20</v>
      </c>
      <c r="C591" t="str">
        <f>")=TT_K("</f>
        <v>)=TT_K(</v>
      </c>
      <c r="D591">
        <f>C577</f>
        <v>20</v>
      </c>
      <c r="E591" t="s">
        <v>52</v>
      </c>
      <c r="I591" s="15"/>
      <c r="J591" s="15"/>
      <c r="K591" s="15"/>
      <c r="L591" s="15"/>
      <c r="M591" s="15" t="str">
        <f>CONCATENATE(A591,B591,C591,D591,E591)</f>
        <v>TT_C(20)=TT_K(20)-273.15</v>
      </c>
      <c r="N591" s="15"/>
      <c r="O591" s="15"/>
    </row>
    <row r="592" spans="1:15" ht="15.75" thickBot="1" x14ac:dyDescent="0.3">
      <c r="A592" s="1" t="s">
        <v>200</v>
      </c>
      <c r="B592" s="1" t="s">
        <v>34</v>
      </c>
      <c r="C592" s="1" t="s">
        <v>35</v>
      </c>
      <c r="D592" s="1"/>
      <c r="E592" s="1"/>
      <c r="F592" s="1"/>
      <c r="G592" s="1"/>
      <c r="I592" s="15"/>
      <c r="J592" s="15"/>
      <c r="K592" s="15"/>
      <c r="L592" s="17" t="str">
        <f>"'Switch on next AM416 Multiplexer channel.  PulsePort(DataLogger channel C#, Delay)"</f>
        <v>'Switch on next AM416 Multiplexer channel.  PulsePort(DataLogger channel C#, Delay)</v>
      </c>
      <c r="M592" s="15"/>
      <c r="N592" s="15"/>
      <c r="O592" s="15"/>
    </row>
    <row r="593" spans="1:15" ht="16.5" thickBot="1" x14ac:dyDescent="0.3">
      <c r="A593" s="5">
        <f>A577</f>
        <v>2</v>
      </c>
      <c r="B593" s="5">
        <f>B577+1</f>
        <v>5</v>
      </c>
      <c r="C593" s="6">
        <f>C577+1</f>
        <v>21</v>
      </c>
      <c r="D593" s="84" t="s">
        <v>243</v>
      </c>
      <c r="E593" s="85"/>
      <c r="F593" s="85"/>
      <c r="G593" s="86"/>
      <c r="I593" s="15"/>
      <c r="J593" s="15"/>
      <c r="K593" s="15"/>
      <c r="L593" s="15" t="str">
        <f>"PulsePort("&amp;ClockComChannel&amp;",10000)"</f>
        <v>PulsePort(1,10000)</v>
      </c>
      <c r="M593" s="15"/>
      <c r="N593" s="15"/>
      <c r="O593" s="15"/>
    </row>
    <row r="594" spans="1:15" x14ac:dyDescent="0.25">
      <c r="I594" s="15"/>
      <c r="J594" s="15"/>
      <c r="K594" s="15"/>
      <c r="L594" s="15"/>
      <c r="M594" s="15" t="s">
        <v>22</v>
      </c>
      <c r="N594" s="15"/>
      <c r="O594" s="15"/>
    </row>
    <row r="595" spans="1:15" x14ac:dyDescent="0.25">
      <c r="I595" s="15"/>
      <c r="J595" s="15"/>
      <c r="K595" s="15"/>
      <c r="L595" s="15"/>
      <c r="M595" s="15" t="str">
        <f>"'Measure SI-111 sensor body thermistor temperature.  Therm109 (Dest, Reps, SEChan, VX/ExChan, SettlingTime, Integ, Mult, Offset)"</f>
        <v>'Measure SI-111 sensor body thermistor temperature.  Therm109 (Dest, Reps, SEChan, VX/ExChan, SettlingTime, Integ, Mult, Offset)</v>
      </c>
      <c r="N595" s="15"/>
      <c r="O595" s="15"/>
    </row>
    <row r="596" spans="1:15" x14ac:dyDescent="0.25">
      <c r="A596" t="str">
        <f>"Therm109(SBT_C("</f>
        <v>Therm109(SBT_C(</v>
      </c>
      <c r="B596">
        <f>C593</f>
        <v>21</v>
      </c>
      <c r="C596" t="s">
        <v>130</v>
      </c>
      <c r="D596">
        <f>VLOOKUP("MUXSEChannel",MUXChans,A593+1,FALSE)</f>
        <v>4</v>
      </c>
      <c r="E596" t="s">
        <v>46</v>
      </c>
      <c r="F596" t="str">
        <f>"VX"&amp;VLOOKUP("MUXVXChannel",MUXChannnels,A593+1,FALSE)</f>
        <v>VX3</v>
      </c>
      <c r="G596" t="s">
        <v>133</v>
      </c>
      <c r="I596" s="15"/>
      <c r="J596" s="15"/>
      <c r="K596" s="15"/>
      <c r="L596" s="15"/>
      <c r="M596" s="15" t="str">
        <f>CONCATENATE(A596,B596,C596,D596,E596,F596,G596)</f>
        <v>Therm109(SBT_C(21),1,4,VX3,0,_60Hz,1,0)</v>
      </c>
      <c r="N596" s="15"/>
      <c r="O596" s="15"/>
    </row>
    <row r="597" spans="1:15" x14ac:dyDescent="0.25">
      <c r="I597" s="15"/>
      <c r="J597" s="15"/>
      <c r="K597" s="15"/>
      <c r="L597" s="15"/>
      <c r="M597" s="15" t="str">
        <f>"'Measure SI-111 output of thermopile.  VoltDiff(Dest, Reps, Range, DiffChan, RevDiff, SettlingTime, Integ, Mult, Offset)"</f>
        <v>'Measure SI-111 output of thermopile.  VoltDiff(Dest, Reps, Range, DiffChan, RevDiff, SettlingTime, Integ, Mult, Offset)</v>
      </c>
      <c r="N597" s="15"/>
      <c r="O597" s="15"/>
    </row>
    <row r="598" spans="1:15" x14ac:dyDescent="0.25">
      <c r="A598" t="str">
        <f>"VoltDiff(TTmV("</f>
        <v>VoltDiff(TTmV(</v>
      </c>
      <c r="B598">
        <f>C593</f>
        <v>21</v>
      </c>
      <c r="C598" t="s">
        <v>131</v>
      </c>
      <c r="D598">
        <f>VLOOKUP("MUXDiffChannel",MUXChans,A593+1,FALSE)</f>
        <v>3</v>
      </c>
      <c r="E598" t="s">
        <v>132</v>
      </c>
      <c r="I598" s="15"/>
      <c r="J598" s="15"/>
      <c r="K598" s="15"/>
      <c r="L598" s="15"/>
      <c r="M598" s="15" t="str">
        <f>CONCATENATE(A598,B598,C598,D598,E598)</f>
        <v>VoltDiff(TTmV(21),1,mV2_5,3,True,0,_60Hz,1,0,)</v>
      </c>
      <c r="N598" s="15"/>
      <c r="O598" s="15"/>
    </row>
    <row r="599" spans="1:15" x14ac:dyDescent="0.25">
      <c r="B599" s="7">
        <v>6</v>
      </c>
      <c r="D599" s="7">
        <v>7</v>
      </c>
      <c r="F599" s="7">
        <v>8</v>
      </c>
      <c r="I599" s="15"/>
      <c r="J599" s="15"/>
      <c r="K599" s="15"/>
      <c r="L599" s="15"/>
      <c r="M599" s="15" t="s">
        <v>15</v>
      </c>
      <c r="N599" s="15"/>
      <c r="O599" s="15"/>
    </row>
    <row r="600" spans="1:15" x14ac:dyDescent="0.25">
      <c r="A600" t="str">
        <f>CONCATENATE("m","(",C593,")=")</f>
        <v>m(21)=</v>
      </c>
      <c r="B600">
        <f>VLOOKUP($C593,SensorCoeffs,B599,FALSE)</f>
        <v>1367620000</v>
      </c>
      <c r="C600" t="str">
        <f>"+("</f>
        <v>+(</v>
      </c>
      <c r="D600">
        <f>VLOOKUP($C593,SensorCoeffs,D599,FALSE)</f>
        <v>7237750</v>
      </c>
      <c r="E600" t="str">
        <f>CONCATENATE("*SBT_C","(",C593,")",")+(")</f>
        <v>*SBT_C(21))+(</v>
      </c>
      <c r="F600">
        <f>VLOOKUP($C593,SensorCoeffs,F599,FALSE)</f>
        <v>71645.899999999994</v>
      </c>
      <c r="G600" t="str">
        <f>CONCATENATE("*SBT_C","(",C593,")^2)")</f>
        <v>*SBT_C(21)^2)</v>
      </c>
      <c r="I600" s="15"/>
      <c r="J600" s="15"/>
      <c r="K600" s="15"/>
      <c r="L600" s="15"/>
      <c r="M600" s="15" t="str">
        <f>CONCATENATE(A600,B600,C600,D600,E600,F600,G600)</f>
        <v>m(21)=1367620000+(7237750*SBT_C(21))+(71645.9*SBT_C(21)^2)</v>
      </c>
      <c r="N600" s="15"/>
      <c r="O600" s="15"/>
    </row>
    <row r="601" spans="1:15" x14ac:dyDescent="0.25">
      <c r="A601" t="str">
        <f>CONCATENATE("b","(",C593,")=")</f>
        <v>b(21)=</v>
      </c>
      <c r="B601">
        <f>VLOOKUP($C593,SensorCoeffs,B599+3,FALSE)</f>
        <v>-5766930</v>
      </c>
      <c r="C601" t="str">
        <f>"+("</f>
        <v>+(</v>
      </c>
      <c r="D601">
        <f>VLOOKUP($C593,SensorCoeffs,D599+3,FALSE)</f>
        <v>-21127.4</v>
      </c>
      <c r="E601" t="str">
        <f>CONCATENATE("*SBT_C","(",C593,")",")+(")</f>
        <v>*SBT_C(21))+(</v>
      </c>
      <c r="F601">
        <f>VLOOKUP($C593,SensorCoeffs,F599+3,FALSE)</f>
        <v>14807.4</v>
      </c>
      <c r="G601" t="str">
        <f>CONCATENATE("*SBT_C","(",C593,")^2)")</f>
        <v>*SBT_C(21)^2)</v>
      </c>
      <c r="I601" s="15"/>
      <c r="J601" s="15"/>
      <c r="K601" s="15"/>
      <c r="L601" s="15"/>
      <c r="M601" s="15" t="str">
        <f>CONCATENATE(A601,B601,C601,D601,E601,F601,G601)</f>
        <v>b(21)=-5766930+(-21127.4*SBT_C(21))+(14807.4*SBT_C(21)^2)</v>
      </c>
      <c r="N601" s="15"/>
      <c r="O601" s="15"/>
    </row>
    <row r="602" spans="1:15" x14ac:dyDescent="0.25">
      <c r="I602" s="15"/>
      <c r="J602" s="15"/>
      <c r="K602" s="15"/>
      <c r="L602" s="15"/>
      <c r="M602" s="15" t="s">
        <v>16</v>
      </c>
      <c r="N602" s="15"/>
      <c r="O602" s="15"/>
    </row>
    <row r="603" spans="1:15" x14ac:dyDescent="0.25">
      <c r="A603" t="str">
        <f>"SBT_K("</f>
        <v>SBT_K(</v>
      </c>
      <c r="B603">
        <f>C593</f>
        <v>21</v>
      </c>
      <c r="C603" t="str">
        <f>")=SBT_C("</f>
        <v>)=SBT_C(</v>
      </c>
      <c r="D603">
        <f>C593</f>
        <v>21</v>
      </c>
      <c r="E603" t="s">
        <v>49</v>
      </c>
      <c r="I603" s="15"/>
      <c r="J603" s="15"/>
      <c r="K603" s="15"/>
      <c r="L603" s="15"/>
      <c r="M603" s="15" t="str">
        <f>CONCATENATE(A603,B603,C603,D603,E603)</f>
        <v>SBT_K(21)=SBT_C(21)+273.15</v>
      </c>
      <c r="N603" s="15"/>
      <c r="O603" s="15"/>
    </row>
    <row r="604" spans="1:15" x14ac:dyDescent="0.25">
      <c r="A604" t="str">
        <f>"TT_K("</f>
        <v>TT_K(</v>
      </c>
      <c r="B604">
        <f>C593</f>
        <v>21</v>
      </c>
      <c r="C604" t="str">
        <f>")=SBT_K("</f>
        <v>)=SBT_K(</v>
      </c>
      <c r="D604">
        <f>C593</f>
        <v>21</v>
      </c>
      <c r="E604" t="str">
        <f>CONCATENATE(")^4+TTmV","(",C593,")")</f>
        <v>)^4+TTmV(21)</v>
      </c>
      <c r="F604" t="str">
        <f>CONCATENATE("*m","(",C593,")")</f>
        <v>*m(21)</v>
      </c>
      <c r="G604" t="str">
        <f>CONCATENATE("+b","(",C593,")")</f>
        <v>+b(21)</v>
      </c>
      <c r="I604" s="15"/>
      <c r="J604" s="15"/>
      <c r="K604" s="15"/>
      <c r="L604" s="15"/>
      <c r="M604" s="15" t="str">
        <f>CONCATENATE(A604,B604,C604,D604,E604,F604,G604)</f>
        <v>TT_K(21)=SBT_K(21)^4+TTmV(21)*m(21)+b(21)</v>
      </c>
      <c r="N604" s="15"/>
      <c r="O604" s="15"/>
    </row>
    <row r="605" spans="1:15" x14ac:dyDescent="0.25">
      <c r="A605" t="str">
        <f>CONCATENATE("TT_K(")</f>
        <v>TT_K(</v>
      </c>
      <c r="B605">
        <f>C593</f>
        <v>21</v>
      </c>
      <c r="C605" t="str">
        <f>")=SQR(SQR(TT_K("</f>
        <v>)=SQR(SQR(TT_K(</v>
      </c>
      <c r="D605">
        <f>C593</f>
        <v>21</v>
      </c>
      <c r="E605" t="s">
        <v>80</v>
      </c>
      <c r="I605" s="15"/>
      <c r="J605" s="15"/>
      <c r="K605" s="15"/>
      <c r="L605" s="15"/>
      <c r="M605" s="15" t="str">
        <f>CONCATENATE(A605,B605,C605,D605,E605)</f>
        <v>TT_K(21)=SQR(SQR(TT_K(21)))</v>
      </c>
      <c r="N605" s="15"/>
      <c r="O605" s="15"/>
    </row>
    <row r="606" spans="1:15" x14ac:dyDescent="0.25">
      <c r="I606" s="15"/>
      <c r="J606" s="15"/>
      <c r="K606" s="15"/>
      <c r="L606" s="15"/>
      <c r="M606" s="15" t="s">
        <v>17</v>
      </c>
      <c r="N606" s="15"/>
      <c r="O606" s="15"/>
    </row>
    <row r="607" spans="1:15" x14ac:dyDescent="0.25">
      <c r="A607" t="str">
        <f>"TT_C("</f>
        <v>TT_C(</v>
      </c>
      <c r="B607">
        <f>C593</f>
        <v>21</v>
      </c>
      <c r="C607" t="str">
        <f>")=TT_K("</f>
        <v>)=TT_K(</v>
      </c>
      <c r="D607">
        <f>C593</f>
        <v>21</v>
      </c>
      <c r="E607" t="s">
        <v>52</v>
      </c>
      <c r="I607" s="15"/>
      <c r="J607" s="15"/>
      <c r="K607" s="15"/>
      <c r="L607" s="15"/>
      <c r="M607" s="15" t="str">
        <f>CONCATENATE(A607,B607,C607,D607,E607)</f>
        <v>TT_C(21)=TT_K(21)-273.15</v>
      </c>
      <c r="N607" s="15"/>
      <c r="O607" s="15"/>
    </row>
    <row r="608" spans="1:15" ht="15.75" thickBot="1" x14ac:dyDescent="0.3">
      <c r="A608" s="1" t="s">
        <v>200</v>
      </c>
      <c r="B608" s="1" t="s">
        <v>34</v>
      </c>
      <c r="C608" s="1" t="s">
        <v>35</v>
      </c>
      <c r="D608" s="1"/>
      <c r="E608" s="1"/>
      <c r="F608" s="1"/>
      <c r="G608" s="1"/>
      <c r="I608" s="15"/>
      <c r="J608" s="15"/>
      <c r="K608" s="15"/>
      <c r="L608" s="17" t="str">
        <f>"'Switch on next AM416 Multiplexer channel.  PulsePort(DataLogger channel C#, Delay)"</f>
        <v>'Switch on next AM416 Multiplexer channel.  PulsePort(DataLogger channel C#, Delay)</v>
      </c>
      <c r="M608" s="15"/>
      <c r="N608" s="15"/>
      <c r="O608" s="15"/>
    </row>
    <row r="609" spans="1:15" ht="16.5" thickBot="1" x14ac:dyDescent="0.3">
      <c r="A609" s="5">
        <f>A593</f>
        <v>2</v>
      </c>
      <c r="B609" s="5">
        <f>B593+1</f>
        <v>6</v>
      </c>
      <c r="C609" s="6">
        <f>C593+1</f>
        <v>22</v>
      </c>
      <c r="D609" s="84" t="s">
        <v>243</v>
      </c>
      <c r="E609" s="85"/>
      <c r="F609" s="85"/>
      <c r="G609" s="86"/>
      <c r="I609" s="15"/>
      <c r="J609" s="15"/>
      <c r="K609" s="15"/>
      <c r="L609" s="15" t="str">
        <f>"PulsePort("&amp;ClockComChannel&amp;",10000)"</f>
        <v>PulsePort(1,10000)</v>
      </c>
      <c r="M609" s="15"/>
      <c r="N609" s="15"/>
      <c r="O609" s="15"/>
    </row>
    <row r="610" spans="1:15" x14ac:dyDescent="0.25">
      <c r="I610" s="15"/>
      <c r="J610" s="15"/>
      <c r="K610" s="15"/>
      <c r="L610" s="15"/>
      <c r="M610" s="15" t="s">
        <v>22</v>
      </c>
      <c r="N610" s="15"/>
      <c r="O610" s="15"/>
    </row>
    <row r="611" spans="1:15" x14ac:dyDescent="0.25">
      <c r="I611" s="15"/>
      <c r="J611" s="15"/>
      <c r="K611" s="15"/>
      <c r="L611" s="15"/>
      <c r="M611" s="15" t="str">
        <f>"'Measure SI-111 sensor body thermistor temperature.  Therm109 (Dest, Reps, SEChan, VX/ExChan, SettlingTime, Integ, Mult, Offset)"</f>
        <v>'Measure SI-111 sensor body thermistor temperature.  Therm109 (Dest, Reps, SEChan, VX/ExChan, SettlingTime, Integ, Mult, Offset)</v>
      </c>
      <c r="N611" s="15"/>
      <c r="O611" s="15"/>
    </row>
    <row r="612" spans="1:15" x14ac:dyDescent="0.25">
      <c r="A612" t="str">
        <f>"Therm109(SBT_C("</f>
        <v>Therm109(SBT_C(</v>
      </c>
      <c r="B612">
        <f>C609</f>
        <v>22</v>
      </c>
      <c r="C612" t="s">
        <v>130</v>
      </c>
      <c r="D612">
        <f>VLOOKUP("MUXSEChannel",MUXChans,A609+1,FALSE)</f>
        <v>4</v>
      </c>
      <c r="E612" t="s">
        <v>46</v>
      </c>
      <c r="F612" t="str">
        <f>"VX"&amp;VLOOKUP("MUXVXChannel",MUXChannnels,A609+1,FALSE)</f>
        <v>VX3</v>
      </c>
      <c r="G612" t="s">
        <v>133</v>
      </c>
      <c r="I612" s="15"/>
      <c r="J612" s="15"/>
      <c r="K612" s="15"/>
      <c r="L612" s="15"/>
      <c r="M612" s="15" t="str">
        <f>CONCATENATE(A612,B612,C612,D612,E612,F612,G612)</f>
        <v>Therm109(SBT_C(22),1,4,VX3,0,_60Hz,1,0)</v>
      </c>
      <c r="N612" s="15"/>
      <c r="O612" s="15"/>
    </row>
    <row r="613" spans="1:15" x14ac:dyDescent="0.25">
      <c r="I613" s="15"/>
      <c r="J613" s="15"/>
      <c r="K613" s="15"/>
      <c r="L613" s="15"/>
      <c r="M613" s="15" t="str">
        <f>"'Measure SI-111 output of thermopile.  VoltDiff(Dest, Reps, Range, DiffChan, RevDiff, SettlingTime, Integ, Mult, Offset)"</f>
        <v>'Measure SI-111 output of thermopile.  VoltDiff(Dest, Reps, Range, DiffChan, RevDiff, SettlingTime, Integ, Mult, Offset)</v>
      </c>
      <c r="N613" s="15"/>
      <c r="O613" s="15"/>
    </row>
    <row r="614" spans="1:15" x14ac:dyDescent="0.25">
      <c r="A614" t="str">
        <f>"VoltDiff(TTmV("</f>
        <v>VoltDiff(TTmV(</v>
      </c>
      <c r="B614">
        <f>C609</f>
        <v>22</v>
      </c>
      <c r="C614" t="s">
        <v>131</v>
      </c>
      <c r="D614">
        <f>VLOOKUP("MUXDiffChannel",MUXChans,A609+1,FALSE)</f>
        <v>3</v>
      </c>
      <c r="E614" t="s">
        <v>132</v>
      </c>
      <c r="I614" s="15"/>
      <c r="J614" s="15"/>
      <c r="K614" s="15"/>
      <c r="L614" s="15"/>
      <c r="M614" s="15" t="str">
        <f>CONCATENATE(A614,B614,C614,D614,E614)</f>
        <v>VoltDiff(TTmV(22),1,mV2_5,3,True,0,_60Hz,1,0,)</v>
      </c>
      <c r="N614" s="15"/>
      <c r="O614" s="15"/>
    </row>
    <row r="615" spans="1:15" x14ac:dyDescent="0.25">
      <c r="B615" s="7">
        <v>6</v>
      </c>
      <c r="D615" s="7">
        <v>7</v>
      </c>
      <c r="F615" s="7">
        <v>8</v>
      </c>
      <c r="I615" s="15"/>
      <c r="J615" s="15"/>
      <c r="K615" s="15"/>
      <c r="L615" s="15"/>
      <c r="M615" s="15" t="s">
        <v>15</v>
      </c>
      <c r="N615" s="15"/>
      <c r="O615" s="15"/>
    </row>
    <row r="616" spans="1:15" x14ac:dyDescent="0.25">
      <c r="A616" t="str">
        <f>CONCATENATE("m","(",C609,")=")</f>
        <v>m(22)=</v>
      </c>
      <c r="B616">
        <f>VLOOKUP($C609,SensorCoeffs,B615,FALSE)</f>
        <v>1332630000</v>
      </c>
      <c r="C616" t="str">
        <f>"+("</f>
        <v>+(</v>
      </c>
      <c r="D616">
        <f>VLOOKUP($C609,SensorCoeffs,D615,FALSE)</f>
        <v>7031600</v>
      </c>
      <c r="E616" t="str">
        <f>CONCATENATE("*SBT_C","(",C609,")",")+(")</f>
        <v>*SBT_C(22))+(</v>
      </c>
      <c r="F616">
        <f>VLOOKUP($C609,SensorCoeffs,F615,FALSE)</f>
        <v>73620.100000000006</v>
      </c>
      <c r="G616" t="str">
        <f>CONCATENATE("*SBT_C","(",C609,")^2)")</f>
        <v>*SBT_C(22)^2)</v>
      </c>
      <c r="I616" s="15"/>
      <c r="J616" s="15"/>
      <c r="K616" s="15"/>
      <c r="L616" s="15"/>
      <c r="M616" s="15" t="str">
        <f>CONCATENATE(A616,B616,C616,D616,E616,F616,G616)</f>
        <v>m(22)=1332630000+(7031600*SBT_C(22))+(73620.1*SBT_C(22)^2)</v>
      </c>
      <c r="N616" s="15"/>
      <c r="O616" s="15"/>
    </row>
    <row r="617" spans="1:15" x14ac:dyDescent="0.25">
      <c r="A617" t="str">
        <f>CONCATENATE("b","(",C609,")=")</f>
        <v>b(22)=</v>
      </c>
      <c r="B617">
        <f>VLOOKUP($C609,SensorCoeffs,B615+3,FALSE)</f>
        <v>-1572190</v>
      </c>
      <c r="C617" t="str">
        <f>"+("</f>
        <v>+(</v>
      </c>
      <c r="D617">
        <f>VLOOKUP($C609,SensorCoeffs,D615+3,FALSE)</f>
        <v>37528.5</v>
      </c>
      <c r="E617" t="str">
        <f>CONCATENATE("*SBT_C","(",C609,")",")+(")</f>
        <v>*SBT_C(22))+(</v>
      </c>
      <c r="F617">
        <f>VLOOKUP($C609,SensorCoeffs,F615+3,FALSE)</f>
        <v>12417.8</v>
      </c>
      <c r="G617" t="str">
        <f>CONCATENATE("*SBT_C","(",C609,")^2)")</f>
        <v>*SBT_C(22)^2)</v>
      </c>
      <c r="I617" s="15"/>
      <c r="J617" s="15"/>
      <c r="K617" s="15"/>
      <c r="L617" s="15"/>
      <c r="M617" s="15" t="str">
        <f>CONCATENATE(A617,B617,C617,D617,E617,F617,G617)</f>
        <v>b(22)=-1572190+(37528.5*SBT_C(22))+(12417.8*SBT_C(22)^2)</v>
      </c>
      <c r="N617" s="15"/>
      <c r="O617" s="15"/>
    </row>
    <row r="618" spans="1:15" x14ac:dyDescent="0.25">
      <c r="I618" s="15"/>
      <c r="J618" s="15"/>
      <c r="K618" s="15"/>
      <c r="L618" s="15"/>
      <c r="M618" s="15" t="s">
        <v>16</v>
      </c>
      <c r="N618" s="15"/>
      <c r="O618" s="15"/>
    </row>
    <row r="619" spans="1:15" x14ac:dyDescent="0.25">
      <c r="A619" t="str">
        <f>"SBT_K("</f>
        <v>SBT_K(</v>
      </c>
      <c r="B619">
        <f>C609</f>
        <v>22</v>
      </c>
      <c r="C619" t="str">
        <f>")=SBT_C("</f>
        <v>)=SBT_C(</v>
      </c>
      <c r="D619">
        <f>C609</f>
        <v>22</v>
      </c>
      <c r="E619" t="s">
        <v>49</v>
      </c>
      <c r="I619" s="15"/>
      <c r="J619" s="15"/>
      <c r="K619" s="15"/>
      <c r="L619" s="15"/>
      <c r="M619" s="15" t="str">
        <f>CONCATENATE(A619,B619,C619,D619,E619)</f>
        <v>SBT_K(22)=SBT_C(22)+273.15</v>
      </c>
      <c r="N619" s="15"/>
      <c r="O619" s="15"/>
    </row>
    <row r="620" spans="1:15" x14ac:dyDescent="0.25">
      <c r="A620" t="str">
        <f>"TT_K("</f>
        <v>TT_K(</v>
      </c>
      <c r="B620">
        <f>C609</f>
        <v>22</v>
      </c>
      <c r="C620" t="str">
        <f>")=SBT_K("</f>
        <v>)=SBT_K(</v>
      </c>
      <c r="D620">
        <f>C609</f>
        <v>22</v>
      </c>
      <c r="E620" t="str">
        <f>CONCATENATE(")^4+TTmV","(",C609,")")</f>
        <v>)^4+TTmV(22)</v>
      </c>
      <c r="F620" t="str">
        <f>CONCATENATE("*m","(",C609,")")</f>
        <v>*m(22)</v>
      </c>
      <c r="G620" t="str">
        <f>CONCATENATE("+b","(",C609,")")</f>
        <v>+b(22)</v>
      </c>
      <c r="I620" s="15"/>
      <c r="J620" s="15"/>
      <c r="K620" s="15"/>
      <c r="L620" s="15"/>
      <c r="M620" s="15" t="str">
        <f>CONCATENATE(A620,B620,C620,D620,E620,F620,G620)</f>
        <v>TT_K(22)=SBT_K(22)^4+TTmV(22)*m(22)+b(22)</v>
      </c>
      <c r="N620" s="15"/>
      <c r="O620" s="15"/>
    </row>
    <row r="621" spans="1:15" x14ac:dyDescent="0.25">
      <c r="A621" t="str">
        <f>CONCATENATE("TT_K(")</f>
        <v>TT_K(</v>
      </c>
      <c r="B621">
        <f>C609</f>
        <v>22</v>
      </c>
      <c r="C621" t="str">
        <f>")=SQR(SQR(TT_K("</f>
        <v>)=SQR(SQR(TT_K(</v>
      </c>
      <c r="D621">
        <f>C609</f>
        <v>22</v>
      </c>
      <c r="E621" t="s">
        <v>80</v>
      </c>
      <c r="I621" s="15"/>
      <c r="J621" s="15"/>
      <c r="K621" s="15"/>
      <c r="L621" s="15"/>
      <c r="M621" s="15" t="str">
        <f>CONCATENATE(A621,B621,C621,D621,E621)</f>
        <v>TT_K(22)=SQR(SQR(TT_K(22)))</v>
      </c>
      <c r="N621" s="15"/>
      <c r="O621" s="15"/>
    </row>
    <row r="622" spans="1:15" x14ac:dyDescent="0.25">
      <c r="I622" s="15"/>
      <c r="J622" s="15"/>
      <c r="K622" s="15"/>
      <c r="L622" s="15"/>
      <c r="M622" s="15" t="s">
        <v>17</v>
      </c>
      <c r="N622" s="15"/>
      <c r="O622" s="15"/>
    </row>
    <row r="623" spans="1:15" x14ac:dyDescent="0.25">
      <c r="A623" t="str">
        <f>"TT_C("</f>
        <v>TT_C(</v>
      </c>
      <c r="B623">
        <f>C609</f>
        <v>22</v>
      </c>
      <c r="C623" t="str">
        <f>")=TT_K("</f>
        <v>)=TT_K(</v>
      </c>
      <c r="D623">
        <f>C609</f>
        <v>22</v>
      </c>
      <c r="E623" t="s">
        <v>52</v>
      </c>
      <c r="I623" s="15"/>
      <c r="J623" s="15"/>
      <c r="K623" s="15"/>
      <c r="L623" s="15"/>
      <c r="M623" s="15" t="str">
        <f>CONCATENATE(A623,B623,C623,D623,E623)</f>
        <v>TT_C(22)=TT_K(22)-273.15</v>
      </c>
      <c r="N623" s="15"/>
      <c r="O623" s="15"/>
    </row>
    <row r="624" spans="1:15" ht="15.75" thickBot="1" x14ac:dyDescent="0.3">
      <c r="A624" s="1" t="s">
        <v>200</v>
      </c>
      <c r="B624" s="1" t="s">
        <v>34</v>
      </c>
      <c r="C624" s="1" t="s">
        <v>35</v>
      </c>
      <c r="D624" s="1"/>
      <c r="E624" s="1"/>
      <c r="F624" s="1"/>
      <c r="G624" s="1"/>
      <c r="I624" s="15"/>
      <c r="J624" s="15"/>
      <c r="K624" s="15"/>
      <c r="L624" s="17" t="str">
        <f>"'Switch on next AM416 Multiplexer channel.  PulsePort(DataLogger channel C#, Delay)"</f>
        <v>'Switch on next AM416 Multiplexer channel.  PulsePort(DataLogger channel C#, Delay)</v>
      </c>
      <c r="M624" s="15"/>
      <c r="N624" s="15"/>
      <c r="O624" s="15"/>
    </row>
    <row r="625" spans="1:15" ht="16.5" thickBot="1" x14ac:dyDescent="0.3">
      <c r="A625" s="5">
        <f>A609</f>
        <v>2</v>
      </c>
      <c r="B625" s="5">
        <f>B609+1</f>
        <v>7</v>
      </c>
      <c r="C625" s="6">
        <f>C609+1</f>
        <v>23</v>
      </c>
      <c r="D625" s="84" t="s">
        <v>243</v>
      </c>
      <c r="E625" s="85"/>
      <c r="F625" s="85"/>
      <c r="G625" s="86"/>
      <c r="I625" s="15"/>
      <c r="J625" s="15"/>
      <c r="K625" s="15"/>
      <c r="L625" s="15" t="str">
        <f>"PulsePort("&amp;ClockComChannel&amp;",10000)"</f>
        <v>PulsePort(1,10000)</v>
      </c>
      <c r="M625" s="15"/>
      <c r="N625" s="15"/>
      <c r="O625" s="15"/>
    </row>
    <row r="626" spans="1:15" x14ac:dyDescent="0.25">
      <c r="I626" s="15"/>
      <c r="J626" s="15"/>
      <c r="K626" s="15"/>
      <c r="L626" s="15"/>
      <c r="M626" s="15" t="s">
        <v>22</v>
      </c>
      <c r="N626" s="15"/>
      <c r="O626" s="15"/>
    </row>
    <row r="627" spans="1:15" x14ac:dyDescent="0.25">
      <c r="I627" s="15"/>
      <c r="J627" s="15"/>
      <c r="K627" s="15"/>
      <c r="L627" s="15"/>
      <c r="M627" s="15" t="str">
        <f>"'Measure SI-111 sensor body thermistor temperature.  Therm109 (Dest, Reps, SEChan, VX/ExChan, SettlingTime, Integ, Mult, Offset)"</f>
        <v>'Measure SI-111 sensor body thermistor temperature.  Therm109 (Dest, Reps, SEChan, VX/ExChan, SettlingTime, Integ, Mult, Offset)</v>
      </c>
      <c r="N627" s="15"/>
      <c r="O627" s="15"/>
    </row>
    <row r="628" spans="1:15" x14ac:dyDescent="0.25">
      <c r="A628" t="str">
        <f>"Therm109(SBT_C("</f>
        <v>Therm109(SBT_C(</v>
      </c>
      <c r="B628">
        <f>C625</f>
        <v>23</v>
      </c>
      <c r="C628" t="s">
        <v>130</v>
      </c>
      <c r="D628">
        <f>VLOOKUP("MUXSEChannel",MUXChans,A625+1,FALSE)</f>
        <v>4</v>
      </c>
      <c r="E628" t="s">
        <v>46</v>
      </c>
      <c r="F628" t="str">
        <f>"VX"&amp;VLOOKUP("MUXVXChannel",MUXChannnels,A625+1,FALSE)</f>
        <v>VX3</v>
      </c>
      <c r="G628" t="s">
        <v>133</v>
      </c>
      <c r="I628" s="15"/>
      <c r="J628" s="15"/>
      <c r="K628" s="15"/>
      <c r="L628" s="15"/>
      <c r="M628" s="15" t="str">
        <f>CONCATENATE(A628,B628,C628,D628,E628,F628,G628)</f>
        <v>Therm109(SBT_C(23),1,4,VX3,0,_60Hz,1,0)</v>
      </c>
      <c r="N628" s="15"/>
      <c r="O628" s="15"/>
    </row>
    <row r="629" spans="1:15" x14ac:dyDescent="0.25">
      <c r="I629" s="15"/>
      <c r="J629" s="15"/>
      <c r="K629" s="15"/>
      <c r="L629" s="15"/>
      <c r="M629" s="15" t="str">
        <f>"'Measure SI-111 output of thermopile.  VoltDiff(Dest, Reps, Range, DiffChan, RevDiff, SettlingTime, Integ, Mult, Offset)"</f>
        <v>'Measure SI-111 output of thermopile.  VoltDiff(Dest, Reps, Range, DiffChan, RevDiff, SettlingTime, Integ, Mult, Offset)</v>
      </c>
      <c r="N629" s="15"/>
      <c r="O629" s="15"/>
    </row>
    <row r="630" spans="1:15" x14ac:dyDescent="0.25">
      <c r="A630" t="str">
        <f>"VoltDiff(TTmV("</f>
        <v>VoltDiff(TTmV(</v>
      </c>
      <c r="B630">
        <f>C625</f>
        <v>23</v>
      </c>
      <c r="C630" t="s">
        <v>131</v>
      </c>
      <c r="D630">
        <f>VLOOKUP("MUXDiffChannel",MUXChans,A625+1,FALSE)</f>
        <v>3</v>
      </c>
      <c r="E630" t="s">
        <v>132</v>
      </c>
      <c r="I630" s="15"/>
      <c r="J630" s="15"/>
      <c r="K630" s="15"/>
      <c r="L630" s="15"/>
      <c r="M630" s="15" t="str">
        <f>CONCATENATE(A630,B630,C630,D630,E630)</f>
        <v>VoltDiff(TTmV(23),1,mV2_5,3,True,0,_60Hz,1,0,)</v>
      </c>
      <c r="N630" s="15"/>
      <c r="O630" s="15"/>
    </row>
    <row r="631" spans="1:15" x14ac:dyDescent="0.25">
      <c r="B631" s="7">
        <v>6</v>
      </c>
      <c r="D631" s="7">
        <v>7</v>
      </c>
      <c r="F631" s="7">
        <v>8</v>
      </c>
      <c r="I631" s="15"/>
      <c r="J631" s="15"/>
      <c r="K631" s="15"/>
      <c r="L631" s="15"/>
      <c r="M631" s="15" t="s">
        <v>15</v>
      </c>
      <c r="N631" s="15"/>
      <c r="O631" s="15"/>
    </row>
    <row r="632" spans="1:15" x14ac:dyDescent="0.25">
      <c r="A632" t="str">
        <f>CONCATENATE("m","(",C625,")=")</f>
        <v>m(23)=</v>
      </c>
      <c r="B632">
        <f>VLOOKUP($C625,SensorCoeffs,B631,FALSE)</f>
        <v>1432990000</v>
      </c>
      <c r="C632" t="str">
        <f>"+("</f>
        <v>+(</v>
      </c>
      <c r="D632">
        <f>VLOOKUP($C625,SensorCoeffs,D631,FALSE)</f>
        <v>7521750</v>
      </c>
      <c r="E632" t="str">
        <f>CONCATENATE("*SBT_C","(",C625,")",")+(")</f>
        <v>*SBT_C(23))+(</v>
      </c>
      <c r="F632">
        <f>VLOOKUP($C625,SensorCoeffs,F631,FALSE)</f>
        <v>78210.100000000006</v>
      </c>
      <c r="G632" t="str">
        <f>CONCATENATE("*SBT_C","(",C625,")^2)")</f>
        <v>*SBT_C(23)^2)</v>
      </c>
      <c r="I632" s="15"/>
      <c r="J632" s="15"/>
      <c r="K632" s="15"/>
      <c r="L632" s="15"/>
      <c r="M632" s="15" t="str">
        <f>CONCATENATE(A632,B632,C632,D632,E632,F632,G632)</f>
        <v>m(23)=1432990000+(7521750*SBT_C(23))+(78210.1*SBT_C(23)^2)</v>
      </c>
      <c r="N632" s="15"/>
      <c r="O632" s="15"/>
    </row>
    <row r="633" spans="1:15" x14ac:dyDescent="0.25">
      <c r="A633" t="str">
        <f>CONCATENATE("b","(",C625,")=")</f>
        <v>b(23)=</v>
      </c>
      <c r="B633">
        <f>VLOOKUP($C625,SensorCoeffs,B631+3,FALSE)</f>
        <v>-3974070</v>
      </c>
      <c r="C633" t="str">
        <f>"+("</f>
        <v>+(</v>
      </c>
      <c r="D633">
        <f>VLOOKUP($C625,SensorCoeffs,D631+3,FALSE)</f>
        <v>3509.1</v>
      </c>
      <c r="E633" t="str">
        <f>CONCATENATE("*SBT_C","(",C625,")",")+(")</f>
        <v>*SBT_C(23))+(</v>
      </c>
      <c r="F633">
        <f>VLOOKUP($C625,SensorCoeffs,F631+3,FALSE)</f>
        <v>13660.6</v>
      </c>
      <c r="G633" t="str">
        <f>CONCATENATE("*SBT_C","(",C625,")^2)")</f>
        <v>*SBT_C(23)^2)</v>
      </c>
      <c r="I633" s="15"/>
      <c r="J633" s="15"/>
      <c r="K633" s="15"/>
      <c r="L633" s="15"/>
      <c r="M633" s="15" t="str">
        <f>CONCATENATE(A633,B633,C633,D633,E633,F633,G633)</f>
        <v>b(23)=-3974070+(3509.1*SBT_C(23))+(13660.6*SBT_C(23)^2)</v>
      </c>
      <c r="N633" s="15"/>
      <c r="O633" s="15"/>
    </row>
    <row r="634" spans="1:15" x14ac:dyDescent="0.25">
      <c r="I634" s="15"/>
      <c r="J634" s="15"/>
      <c r="K634" s="15"/>
      <c r="L634" s="15"/>
      <c r="M634" s="15" t="s">
        <v>16</v>
      </c>
      <c r="N634" s="15"/>
      <c r="O634" s="15"/>
    </row>
    <row r="635" spans="1:15" x14ac:dyDescent="0.25">
      <c r="A635" t="str">
        <f>"SBT_K("</f>
        <v>SBT_K(</v>
      </c>
      <c r="B635">
        <f>C625</f>
        <v>23</v>
      </c>
      <c r="C635" t="str">
        <f>")=SBT_C("</f>
        <v>)=SBT_C(</v>
      </c>
      <c r="D635">
        <f>C625</f>
        <v>23</v>
      </c>
      <c r="E635" t="s">
        <v>49</v>
      </c>
      <c r="I635" s="15"/>
      <c r="J635" s="15"/>
      <c r="K635" s="15"/>
      <c r="L635" s="15"/>
      <c r="M635" s="15" t="str">
        <f>CONCATENATE(A635,B635,C635,D635,E635)</f>
        <v>SBT_K(23)=SBT_C(23)+273.15</v>
      </c>
      <c r="N635" s="15"/>
      <c r="O635" s="15"/>
    </row>
    <row r="636" spans="1:15" x14ac:dyDescent="0.25">
      <c r="A636" t="str">
        <f>"TT_K("</f>
        <v>TT_K(</v>
      </c>
      <c r="B636">
        <f>C625</f>
        <v>23</v>
      </c>
      <c r="C636" t="str">
        <f>")=SBT_K("</f>
        <v>)=SBT_K(</v>
      </c>
      <c r="D636">
        <f>C625</f>
        <v>23</v>
      </c>
      <c r="E636" t="str">
        <f>CONCATENATE(")^4+TTmV","(",C625,")")</f>
        <v>)^4+TTmV(23)</v>
      </c>
      <c r="F636" t="str">
        <f>CONCATENATE("*m","(",C625,")")</f>
        <v>*m(23)</v>
      </c>
      <c r="G636" t="str">
        <f>CONCATENATE("+b","(",C625,")")</f>
        <v>+b(23)</v>
      </c>
      <c r="I636" s="15"/>
      <c r="J636" s="15"/>
      <c r="K636" s="15"/>
      <c r="L636" s="15"/>
      <c r="M636" s="15" t="str">
        <f>CONCATENATE(A636,B636,C636,D636,E636,F636,G636)</f>
        <v>TT_K(23)=SBT_K(23)^4+TTmV(23)*m(23)+b(23)</v>
      </c>
      <c r="N636" s="15"/>
      <c r="O636" s="15"/>
    </row>
    <row r="637" spans="1:15" x14ac:dyDescent="0.25">
      <c r="A637" t="str">
        <f>CONCATENATE("TT_K(")</f>
        <v>TT_K(</v>
      </c>
      <c r="B637">
        <f>C625</f>
        <v>23</v>
      </c>
      <c r="C637" t="str">
        <f>")=SQR(SQR(TT_K("</f>
        <v>)=SQR(SQR(TT_K(</v>
      </c>
      <c r="D637">
        <f>C625</f>
        <v>23</v>
      </c>
      <c r="E637" t="s">
        <v>80</v>
      </c>
      <c r="I637" s="15"/>
      <c r="J637" s="15"/>
      <c r="K637" s="15"/>
      <c r="L637" s="15"/>
      <c r="M637" s="15" t="str">
        <f>CONCATENATE(A637,B637,C637,D637,E637)</f>
        <v>TT_K(23)=SQR(SQR(TT_K(23)))</v>
      </c>
      <c r="N637" s="15"/>
      <c r="O637" s="15"/>
    </row>
    <row r="638" spans="1:15" x14ac:dyDescent="0.25">
      <c r="I638" s="15"/>
      <c r="J638" s="15"/>
      <c r="K638" s="15"/>
      <c r="L638" s="15"/>
      <c r="M638" s="15" t="s">
        <v>17</v>
      </c>
      <c r="N638" s="15"/>
      <c r="O638" s="15"/>
    </row>
    <row r="639" spans="1:15" x14ac:dyDescent="0.25">
      <c r="A639" t="str">
        <f>"TT_C("</f>
        <v>TT_C(</v>
      </c>
      <c r="B639">
        <f>C625</f>
        <v>23</v>
      </c>
      <c r="C639" t="str">
        <f>")=TT_K("</f>
        <v>)=TT_K(</v>
      </c>
      <c r="D639">
        <f>C625</f>
        <v>23</v>
      </c>
      <c r="E639" t="s">
        <v>52</v>
      </c>
      <c r="I639" s="15"/>
      <c r="J639" s="15"/>
      <c r="K639" s="15"/>
      <c r="L639" s="15"/>
      <c r="M639" s="15" t="str">
        <f>CONCATENATE(A639,B639,C639,D639,E639)</f>
        <v>TT_C(23)=TT_K(23)-273.15</v>
      </c>
      <c r="N639" s="15"/>
      <c r="O639" s="15"/>
    </row>
    <row r="640" spans="1:15" ht="15.75" thickBot="1" x14ac:dyDescent="0.3">
      <c r="A640" s="1" t="s">
        <v>200</v>
      </c>
      <c r="B640" s="1" t="s">
        <v>34</v>
      </c>
      <c r="C640" s="1" t="s">
        <v>35</v>
      </c>
      <c r="D640" s="1"/>
      <c r="E640" s="1"/>
      <c r="F640" s="1"/>
      <c r="G640" s="1"/>
      <c r="I640" s="15"/>
      <c r="J640" s="15"/>
      <c r="K640" s="15"/>
      <c r="L640" s="17" t="str">
        <f>"'Switch on next AM416 Multiplexer channel.  PulsePort(DataLogger channel C#, Delay)"</f>
        <v>'Switch on next AM416 Multiplexer channel.  PulsePort(DataLogger channel C#, Delay)</v>
      </c>
      <c r="M640" s="15"/>
      <c r="N640" s="15"/>
      <c r="O640" s="15"/>
    </row>
    <row r="641" spans="1:15" ht="16.5" thickBot="1" x14ac:dyDescent="0.3">
      <c r="A641" s="5">
        <f>A625</f>
        <v>2</v>
      </c>
      <c r="B641" s="5">
        <f>B625+1</f>
        <v>8</v>
      </c>
      <c r="C641" s="6">
        <f>C625+1</f>
        <v>24</v>
      </c>
      <c r="D641" s="84" t="s">
        <v>243</v>
      </c>
      <c r="E641" s="85"/>
      <c r="F641" s="85"/>
      <c r="G641" s="86"/>
      <c r="I641" s="15"/>
      <c r="J641" s="15"/>
      <c r="K641" s="15"/>
      <c r="L641" s="15" t="str">
        <f>"PulsePort("&amp;ClockComChannel&amp;",10000)"</f>
        <v>PulsePort(1,10000)</v>
      </c>
      <c r="M641" s="15"/>
      <c r="N641" s="15"/>
      <c r="O641" s="15"/>
    </row>
    <row r="642" spans="1:15" x14ac:dyDescent="0.25">
      <c r="I642" s="15"/>
      <c r="J642" s="15"/>
      <c r="K642" s="15"/>
      <c r="L642" s="15"/>
      <c r="M642" s="15" t="s">
        <v>22</v>
      </c>
      <c r="N642" s="15"/>
      <c r="O642" s="15"/>
    </row>
    <row r="643" spans="1:15" x14ac:dyDescent="0.25">
      <c r="I643" s="15"/>
      <c r="J643" s="15"/>
      <c r="K643" s="15"/>
      <c r="L643" s="15"/>
      <c r="M643" s="15" t="str">
        <f>"'Measure SI-111 sensor body thermistor temperature.  Therm109 (Dest, Reps, SEChan, VX/ExChan, SettlingTime, Integ, Mult, Offset)"</f>
        <v>'Measure SI-111 sensor body thermistor temperature.  Therm109 (Dest, Reps, SEChan, VX/ExChan, SettlingTime, Integ, Mult, Offset)</v>
      </c>
      <c r="N643" s="15"/>
      <c r="O643" s="15"/>
    </row>
    <row r="644" spans="1:15" x14ac:dyDescent="0.25">
      <c r="A644" t="str">
        <f>"Therm109(SBT_C("</f>
        <v>Therm109(SBT_C(</v>
      </c>
      <c r="B644">
        <f>C641</f>
        <v>24</v>
      </c>
      <c r="C644" t="s">
        <v>130</v>
      </c>
      <c r="D644">
        <f>VLOOKUP("MUXSEChannel",MUXChans,A641+1,FALSE)</f>
        <v>4</v>
      </c>
      <c r="E644" t="s">
        <v>46</v>
      </c>
      <c r="F644" t="str">
        <f>"VX"&amp;VLOOKUP("MUXVXChannel",MUXChannnels,A641+1,FALSE)</f>
        <v>VX3</v>
      </c>
      <c r="G644" t="s">
        <v>133</v>
      </c>
      <c r="I644" s="15"/>
      <c r="J644" s="15"/>
      <c r="K644" s="15"/>
      <c r="L644" s="15"/>
      <c r="M644" s="15" t="str">
        <f>CONCATENATE(A644,B644,C644,D644,E644,F644,G644)</f>
        <v>Therm109(SBT_C(24),1,4,VX3,0,_60Hz,1,0)</v>
      </c>
      <c r="N644" s="15"/>
      <c r="O644" s="15"/>
    </row>
    <row r="645" spans="1:15" x14ac:dyDescent="0.25">
      <c r="I645" s="15"/>
      <c r="J645" s="15"/>
      <c r="K645" s="15"/>
      <c r="L645" s="15"/>
      <c r="M645" s="15" t="str">
        <f>"'Measure SI-111 output of thermopile.  VoltDiff(Dest, Reps, Range, DiffChan, RevDiff, SettlingTime, Integ, Mult, Offset)"</f>
        <v>'Measure SI-111 output of thermopile.  VoltDiff(Dest, Reps, Range, DiffChan, RevDiff, SettlingTime, Integ, Mult, Offset)</v>
      </c>
      <c r="N645" s="15"/>
      <c r="O645" s="15"/>
    </row>
    <row r="646" spans="1:15" x14ac:dyDescent="0.25">
      <c r="A646" t="str">
        <f>"VoltDiff(TTmV("</f>
        <v>VoltDiff(TTmV(</v>
      </c>
      <c r="B646">
        <f>C641</f>
        <v>24</v>
      </c>
      <c r="C646" t="s">
        <v>131</v>
      </c>
      <c r="D646">
        <f>VLOOKUP("MUXDiffChannel",MUXChans,A641+1,FALSE)</f>
        <v>3</v>
      </c>
      <c r="E646" t="s">
        <v>132</v>
      </c>
      <c r="I646" s="15"/>
      <c r="J646" s="15"/>
      <c r="K646" s="15"/>
      <c r="L646" s="15"/>
      <c r="M646" s="15" t="str">
        <f>CONCATENATE(A646,B646,C646,D646,E646)</f>
        <v>VoltDiff(TTmV(24),1,mV2_5,3,True,0,_60Hz,1,0,)</v>
      </c>
      <c r="N646" s="15"/>
      <c r="O646" s="15"/>
    </row>
    <row r="647" spans="1:15" x14ac:dyDescent="0.25">
      <c r="B647" s="7">
        <v>6</v>
      </c>
      <c r="D647" s="7">
        <v>7</v>
      </c>
      <c r="F647" s="7">
        <v>8</v>
      </c>
      <c r="I647" s="15"/>
      <c r="J647" s="15"/>
      <c r="K647" s="15"/>
      <c r="L647" s="15"/>
      <c r="M647" s="15" t="s">
        <v>15</v>
      </c>
      <c r="N647" s="15"/>
      <c r="O647" s="15"/>
    </row>
    <row r="648" spans="1:15" x14ac:dyDescent="0.25">
      <c r="A648" t="str">
        <f>CONCATENATE("m","(",C641,")=")</f>
        <v>m(24)=</v>
      </c>
      <c r="B648">
        <f>VLOOKUP($C641,SensorCoeffs,B647,FALSE)</f>
        <v>1432430000</v>
      </c>
      <c r="C648" t="str">
        <f>"+("</f>
        <v>+(</v>
      </c>
      <c r="D648">
        <f>VLOOKUP($C641,SensorCoeffs,D647,FALSE)</f>
        <v>7402560</v>
      </c>
      <c r="E648" t="str">
        <f>CONCATENATE("*SBT_C","(",C641,")",")+(")</f>
        <v>*SBT_C(24))+(</v>
      </c>
      <c r="F648">
        <f>VLOOKUP($C641,SensorCoeffs,F647,FALSE)</f>
        <v>79259.3</v>
      </c>
      <c r="G648" t="str">
        <f>CONCATENATE("*SBT_C","(",C641,")^2)")</f>
        <v>*SBT_C(24)^2)</v>
      </c>
      <c r="I648" s="15"/>
      <c r="J648" s="15"/>
      <c r="K648" s="15"/>
      <c r="L648" s="15"/>
      <c r="M648" s="15" t="str">
        <f>CONCATENATE(A648,B648,C648,D648,E648,F648,G648)</f>
        <v>m(24)=1432430000+(7402560*SBT_C(24))+(79259.3*SBT_C(24)^2)</v>
      </c>
      <c r="N648" s="15"/>
      <c r="O648" s="15"/>
    </row>
    <row r="649" spans="1:15" x14ac:dyDescent="0.25">
      <c r="A649" t="str">
        <f>CONCATENATE("b","(",C641,")=")</f>
        <v>b(24)=</v>
      </c>
      <c r="B649">
        <f>VLOOKUP($C641,SensorCoeffs,B647+3,FALSE)</f>
        <v>-6857680</v>
      </c>
      <c r="C649" t="str">
        <f>"+("</f>
        <v>+(</v>
      </c>
      <c r="D649">
        <f>VLOOKUP($C641,SensorCoeffs,D647+3,FALSE)</f>
        <v>133432</v>
      </c>
      <c r="E649" t="str">
        <f>CONCATENATE("*SBT_C","(",C641,")",")+(")</f>
        <v>*SBT_C(24))+(</v>
      </c>
      <c r="F649">
        <f>VLOOKUP($C641,SensorCoeffs,F647+3,FALSE)</f>
        <v>13799.7</v>
      </c>
      <c r="G649" t="str">
        <f>CONCATENATE("*SBT_C","(",C641,")^2)")</f>
        <v>*SBT_C(24)^2)</v>
      </c>
      <c r="I649" s="15"/>
      <c r="J649" s="15"/>
      <c r="K649" s="15"/>
      <c r="L649" s="15"/>
      <c r="M649" s="15" t="str">
        <f>CONCATENATE(A649,B649,C649,D649,E649,F649,G649)</f>
        <v>b(24)=-6857680+(133432*SBT_C(24))+(13799.7*SBT_C(24)^2)</v>
      </c>
      <c r="N649" s="15"/>
      <c r="O649" s="15"/>
    </row>
    <row r="650" spans="1:15" x14ac:dyDescent="0.25">
      <c r="I650" s="15"/>
      <c r="J650" s="15"/>
      <c r="K650" s="15"/>
      <c r="L650" s="15"/>
      <c r="M650" s="15" t="s">
        <v>16</v>
      </c>
      <c r="N650" s="15"/>
      <c r="O650" s="15"/>
    </row>
    <row r="651" spans="1:15" x14ac:dyDescent="0.25">
      <c r="A651" t="str">
        <f>"SBT_K("</f>
        <v>SBT_K(</v>
      </c>
      <c r="B651">
        <f>C641</f>
        <v>24</v>
      </c>
      <c r="C651" t="str">
        <f>")=SBT_C("</f>
        <v>)=SBT_C(</v>
      </c>
      <c r="D651">
        <f>C641</f>
        <v>24</v>
      </c>
      <c r="E651" t="s">
        <v>49</v>
      </c>
      <c r="I651" s="15"/>
      <c r="J651" s="15"/>
      <c r="K651" s="15"/>
      <c r="L651" s="15"/>
      <c r="M651" s="15" t="str">
        <f>CONCATENATE(A651,B651,C651,D651,E651)</f>
        <v>SBT_K(24)=SBT_C(24)+273.15</v>
      </c>
      <c r="N651" s="15"/>
      <c r="O651" s="15"/>
    </row>
    <row r="652" spans="1:15" x14ac:dyDescent="0.25">
      <c r="A652" t="str">
        <f>"TT_K("</f>
        <v>TT_K(</v>
      </c>
      <c r="B652">
        <f>C641</f>
        <v>24</v>
      </c>
      <c r="C652" t="str">
        <f>")=SBT_K("</f>
        <v>)=SBT_K(</v>
      </c>
      <c r="D652">
        <f>C641</f>
        <v>24</v>
      </c>
      <c r="E652" t="str">
        <f>CONCATENATE(")^4+TTmV","(",C641,")")</f>
        <v>)^4+TTmV(24)</v>
      </c>
      <c r="F652" t="str">
        <f>CONCATENATE("*m","(",C641,")")</f>
        <v>*m(24)</v>
      </c>
      <c r="G652" t="str">
        <f>CONCATENATE("+b","(",C641,")")</f>
        <v>+b(24)</v>
      </c>
      <c r="I652" s="15"/>
      <c r="J652" s="15"/>
      <c r="K652" s="15"/>
      <c r="L652" s="15"/>
      <c r="M652" s="15" t="str">
        <f>CONCATENATE(A652,B652,C652,D652,E652,F652,G652)</f>
        <v>TT_K(24)=SBT_K(24)^4+TTmV(24)*m(24)+b(24)</v>
      </c>
      <c r="N652" s="15"/>
      <c r="O652" s="15"/>
    </row>
    <row r="653" spans="1:15" x14ac:dyDescent="0.25">
      <c r="A653" t="str">
        <f>CONCATENATE("TT_K(")</f>
        <v>TT_K(</v>
      </c>
      <c r="B653">
        <f>C641</f>
        <v>24</v>
      </c>
      <c r="C653" t="str">
        <f>")=SQR(SQR(TT_K("</f>
        <v>)=SQR(SQR(TT_K(</v>
      </c>
      <c r="D653">
        <f>C641</f>
        <v>24</v>
      </c>
      <c r="E653" t="s">
        <v>80</v>
      </c>
      <c r="I653" s="15"/>
      <c r="J653" s="15"/>
      <c r="K653" s="15"/>
      <c r="L653" s="15"/>
      <c r="M653" s="15" t="str">
        <f>CONCATENATE(A653,B653,C653,D653,E653)</f>
        <v>TT_K(24)=SQR(SQR(TT_K(24)))</v>
      </c>
      <c r="N653" s="15"/>
      <c r="O653" s="15"/>
    </row>
    <row r="654" spans="1:15" x14ac:dyDescent="0.25">
      <c r="I654" s="15"/>
      <c r="J654" s="15"/>
      <c r="K654" s="15"/>
      <c r="L654" s="15"/>
      <c r="M654" s="15" t="s">
        <v>17</v>
      </c>
      <c r="N654" s="15"/>
      <c r="O654" s="15"/>
    </row>
    <row r="655" spans="1:15" x14ac:dyDescent="0.25">
      <c r="A655" t="str">
        <f>"TT_C("</f>
        <v>TT_C(</v>
      </c>
      <c r="B655">
        <f>C641</f>
        <v>24</v>
      </c>
      <c r="C655" t="str">
        <f>")=TT_K("</f>
        <v>)=TT_K(</v>
      </c>
      <c r="D655">
        <f>C641</f>
        <v>24</v>
      </c>
      <c r="E655" t="s">
        <v>52</v>
      </c>
      <c r="I655" s="15"/>
      <c r="J655" s="15"/>
      <c r="K655" s="15"/>
      <c r="L655" s="15"/>
      <c r="M655" s="15" t="str">
        <f>CONCATENATE(A655,B655,C655,D655,E655)</f>
        <v>TT_C(24)=TT_K(24)-273.15</v>
      </c>
      <c r="N655" s="15"/>
      <c r="O655" s="15"/>
    </row>
    <row r="656" spans="1:15" ht="15.75" thickBot="1" x14ac:dyDescent="0.3">
      <c r="A656" s="1" t="s">
        <v>199</v>
      </c>
      <c r="B656" s="1" t="s">
        <v>34</v>
      </c>
      <c r="C656" s="1" t="s">
        <v>35</v>
      </c>
      <c r="D656" s="1"/>
      <c r="E656" s="1"/>
      <c r="F656" s="1"/>
      <c r="G656" s="1"/>
      <c r="I656" s="15"/>
      <c r="J656" s="15"/>
      <c r="K656" s="15"/>
      <c r="L656" s="17" t="str">
        <f>"'Switch on next AM416 Multiplexer channel.  PulsePort(DataLogger channel C#, Delay)"</f>
        <v>'Switch on next AM416 Multiplexer channel.  PulsePort(DataLogger channel C#, Delay)</v>
      </c>
      <c r="M656" s="15"/>
      <c r="N656" s="15"/>
      <c r="O656" s="15"/>
    </row>
    <row r="657" spans="1:15" ht="16.5" thickBot="1" x14ac:dyDescent="0.3">
      <c r="A657" s="5">
        <f>A641</f>
        <v>2</v>
      </c>
      <c r="B657" s="5"/>
      <c r="C657" s="6">
        <v>1</v>
      </c>
      <c r="D657" s="81" t="s">
        <v>245</v>
      </c>
      <c r="E657" s="82"/>
      <c r="F657" s="82"/>
      <c r="G657" s="83"/>
      <c r="I657" s="15"/>
      <c r="J657" s="15"/>
      <c r="K657" s="15"/>
      <c r="L657" s="15" t="str">
        <f>"PulsePort("&amp;ClockComChannel&amp;",10000)"</f>
        <v>PulsePort(1,10000)</v>
      </c>
      <c r="M657" s="15"/>
      <c r="N657" s="15"/>
      <c r="O657" s="15"/>
    </row>
    <row r="658" spans="1:15" x14ac:dyDescent="0.25">
      <c r="I658" s="15"/>
      <c r="J658" s="15"/>
      <c r="K658" s="15"/>
      <c r="L658" s="15"/>
      <c r="M658" s="15" t="s">
        <v>173</v>
      </c>
      <c r="N658" s="15"/>
      <c r="O658" s="15"/>
    </row>
    <row r="659" spans="1:15" x14ac:dyDescent="0.25">
      <c r="I659" s="15"/>
      <c r="J659" s="15"/>
      <c r="K659" s="15"/>
      <c r="L659" s="15"/>
      <c r="M659" s="17" t="str">
        <f>"'Measure average temperature above heat flux plate.  TCDiff(Dest, Reps, Range, DiffChan, TCType, Tref, RevDiff, Settlingtime, Integ, Mult, Offset)"</f>
        <v>'Measure average temperature above heat flux plate.  TCDiff(Dest, Reps, Range, DiffChan, TCType, Tref, RevDiff, Settlingtime, Integ, Mult, Offset)</v>
      </c>
      <c r="N659" s="15"/>
      <c r="O659" s="15"/>
    </row>
    <row r="660" spans="1:15" x14ac:dyDescent="0.25">
      <c r="A660" t="s">
        <v>188</v>
      </c>
      <c r="B660">
        <f>C657</f>
        <v>1</v>
      </c>
      <c r="C660" t="s">
        <v>174</v>
      </c>
      <c r="D660">
        <f>VLOOKUP("MUXDiffChannel",MUXChans,A657+1,FALSE)</f>
        <v>3</v>
      </c>
      <c r="E660" t="s">
        <v>175</v>
      </c>
      <c r="I660" s="15"/>
      <c r="J660" s="15"/>
      <c r="K660" s="15"/>
      <c r="L660" s="15"/>
      <c r="M660" s="15" t="str">
        <f>CONCATENATE(A660,B660,C660,D660,E660,F660,G660)</f>
        <v>TCDiff(SoilAvTC(1),1,MV2_5C,3,TypeE,PTemp_C,True,0,_60Hz,1,0)</v>
      </c>
      <c r="N660" s="15"/>
      <c r="O660" s="15"/>
    </row>
    <row r="661" spans="1:15" x14ac:dyDescent="0.25">
      <c r="I661" s="15"/>
      <c r="J661" s="15"/>
      <c r="K661" s="15"/>
      <c r="L661" s="15"/>
      <c r="M661" s="17" t="str">
        <f>"'HFP01 Heat Flux Plates"</f>
        <v>'HFP01 Heat Flux Plates</v>
      </c>
      <c r="N661" s="15"/>
      <c r="O661" s="15"/>
    </row>
    <row r="662" spans="1:15" x14ac:dyDescent="0.25">
      <c r="I662" s="15"/>
      <c r="J662" s="15"/>
      <c r="K662" s="15"/>
      <c r="L662" s="15"/>
      <c r="M662" s="15" t="str">
        <f>"'Measure heat flux.  VoltSe (Dest, Reps, Range, SEChan, MeasOfs, SettlingTime, Integ, Mult, Offset)"</f>
        <v>'Measure heat flux.  VoltSe (Dest, Reps, Range, SEChan, MeasOfs, SettlingTime, Integ, Mult, Offset)</v>
      </c>
      <c r="N662" s="15"/>
      <c r="O662" s="15"/>
    </row>
    <row r="663" spans="1:15" x14ac:dyDescent="0.25">
      <c r="A663" t="s">
        <v>189</v>
      </c>
      <c r="B663">
        <f>C657</f>
        <v>1</v>
      </c>
      <c r="C663" t="s">
        <v>209</v>
      </c>
      <c r="D663">
        <f>VLOOKUP("MUXSEChannel",MUXChans,A657+1,FALSE)</f>
        <v>4</v>
      </c>
      <c r="E663" t="s">
        <v>210</v>
      </c>
      <c r="F663">
        <f>ROUND(VLOOKUP(C657,FluxPlateCalibrations,6,FALSE),2)</f>
        <v>16.39</v>
      </c>
      <c r="G663" t="s">
        <v>48</v>
      </c>
      <c r="I663" s="15"/>
      <c r="J663" s="15"/>
      <c r="K663" s="15"/>
      <c r="L663" s="15"/>
      <c r="M663" s="15" t="str">
        <f>CONCATENATE(A663,B663,C663,D663,E663,F663,G663)</f>
        <v>VoltSe (HeatFlux(1),1,MV7_5,4,0,0,_60Hz,16.39,0)</v>
      </c>
      <c r="N663" s="15"/>
      <c r="O663" s="15"/>
    </row>
    <row r="664" spans="1:15" ht="15.75" thickBot="1" x14ac:dyDescent="0.3">
      <c r="A664" s="1" t="s">
        <v>199</v>
      </c>
      <c r="B664" s="1" t="s">
        <v>34</v>
      </c>
      <c r="C664" s="1" t="s">
        <v>35</v>
      </c>
      <c r="D664" s="1"/>
      <c r="E664" s="1"/>
      <c r="F664" s="1"/>
      <c r="G664" s="1"/>
      <c r="I664" s="15"/>
      <c r="J664" s="15"/>
      <c r="K664" s="15"/>
      <c r="L664" s="17" t="str">
        <f>"'Switch on next AM416 Multiplexer channel.  PulsePort(DataLogger channel C#, Delay)"</f>
        <v>'Switch on next AM416 Multiplexer channel.  PulsePort(DataLogger channel C#, Delay)</v>
      </c>
      <c r="M664" s="15"/>
      <c r="N664" s="15"/>
      <c r="O664" s="15"/>
    </row>
    <row r="665" spans="1:15" ht="16.5" thickBot="1" x14ac:dyDescent="0.3">
      <c r="A665" s="5">
        <f>A657</f>
        <v>2</v>
      </c>
      <c r="B665" s="5"/>
      <c r="C665" s="6">
        <v>2</v>
      </c>
      <c r="D665" s="81" t="s">
        <v>245</v>
      </c>
      <c r="E665" s="82"/>
      <c r="F665" s="82"/>
      <c r="G665" s="83"/>
      <c r="I665" s="15"/>
      <c r="J665" s="15"/>
      <c r="K665" s="15"/>
      <c r="L665" s="15" t="str">
        <f>"PulsePort("&amp;ClockComChannel&amp;",10000)"</f>
        <v>PulsePort(1,10000)</v>
      </c>
      <c r="M665" s="15"/>
      <c r="N665" s="15"/>
      <c r="O665" s="15"/>
    </row>
    <row r="666" spans="1:15" x14ac:dyDescent="0.25">
      <c r="I666" s="15"/>
      <c r="J666" s="15"/>
      <c r="K666" s="15"/>
      <c r="L666" s="15"/>
      <c r="M666" s="15" t="s">
        <v>173</v>
      </c>
      <c r="N666" s="15"/>
      <c r="O666" s="15"/>
    </row>
    <row r="667" spans="1:15" x14ac:dyDescent="0.25">
      <c r="I667" s="15"/>
      <c r="J667" s="15"/>
      <c r="K667" s="15"/>
      <c r="L667" s="15"/>
      <c r="M667" s="17" t="str">
        <f>"'Measure average temperature above heat flux plate.  TCDiff(Dest, Reps, Range, DiffChan, TCType, Tref, RevDiff, Settlingtime, Integ, Mult, Offset)"</f>
        <v>'Measure average temperature above heat flux plate.  TCDiff(Dest, Reps, Range, DiffChan, TCType, Tref, RevDiff, Settlingtime, Integ, Mult, Offset)</v>
      </c>
      <c r="N667" s="15"/>
      <c r="O667" s="15"/>
    </row>
    <row r="668" spans="1:15" x14ac:dyDescent="0.25">
      <c r="A668" t="s">
        <v>188</v>
      </c>
      <c r="B668">
        <f>C665</f>
        <v>2</v>
      </c>
      <c r="C668" t="s">
        <v>174</v>
      </c>
      <c r="D668">
        <f>VLOOKUP("MUXDiffChannel",MUXChans,A665+1,FALSE)</f>
        <v>3</v>
      </c>
      <c r="E668" t="s">
        <v>175</v>
      </c>
      <c r="I668" s="15"/>
      <c r="J668" s="15"/>
      <c r="K668" s="15"/>
      <c r="L668" s="15"/>
      <c r="M668" s="15" t="str">
        <f>CONCATENATE(A668,B668,C668,D668,E668,F668,G668)</f>
        <v>TCDiff(SoilAvTC(2),1,MV2_5C,3,TypeE,PTemp_C,True,0,_60Hz,1,0)</v>
      </c>
      <c r="N668" s="15"/>
      <c r="O668" s="15"/>
    </row>
    <row r="669" spans="1:15" x14ac:dyDescent="0.25">
      <c r="I669" s="15"/>
      <c r="J669" s="15"/>
      <c r="K669" s="15"/>
      <c r="L669" s="15"/>
      <c r="M669" s="17" t="str">
        <f>"'HFP01 Heat Flux Plates"</f>
        <v>'HFP01 Heat Flux Plates</v>
      </c>
      <c r="N669" s="15"/>
      <c r="O669" s="15"/>
    </row>
    <row r="670" spans="1:15" x14ac:dyDescent="0.25">
      <c r="I670" s="15"/>
      <c r="J670" s="15"/>
      <c r="K670" s="15"/>
      <c r="L670" s="15"/>
      <c r="M670" s="15" t="str">
        <f>"'Measure heat flux.  VoltSe (Dest, Reps, Range, SEChan, MeasOfs, SettlingTime, Integ, Mult, Offset)"</f>
        <v>'Measure heat flux.  VoltSe (Dest, Reps, Range, SEChan, MeasOfs, SettlingTime, Integ, Mult, Offset)</v>
      </c>
      <c r="N670" s="15"/>
      <c r="O670" s="15"/>
    </row>
    <row r="671" spans="1:15" x14ac:dyDescent="0.25">
      <c r="A671" t="s">
        <v>189</v>
      </c>
      <c r="B671">
        <f>C665</f>
        <v>2</v>
      </c>
      <c r="C671" t="s">
        <v>209</v>
      </c>
      <c r="D671">
        <f>VLOOKUP("MUXSEChannel",MUXChans,A665+1,FALSE)</f>
        <v>4</v>
      </c>
      <c r="E671" t="s">
        <v>210</v>
      </c>
      <c r="F671">
        <f>ROUND(VLOOKUP(C665,FluxPlateCalibrations,6,FALSE),2)</f>
        <v>16.100000000000001</v>
      </c>
      <c r="G671" t="s">
        <v>48</v>
      </c>
      <c r="I671" s="15"/>
      <c r="J671" s="15"/>
      <c r="K671" s="15"/>
      <c r="L671" s="15"/>
      <c r="M671" s="15" t="str">
        <f>CONCATENATE(A671,B671,C671,D671,E671,F671,G671)</f>
        <v>VoltSe (HeatFlux(2),1,MV7_5,4,0,0,_60Hz,16.1,0)</v>
      </c>
      <c r="N671" s="15"/>
      <c r="O671" s="15"/>
    </row>
    <row r="672" spans="1:15" ht="15.75" thickBot="1" x14ac:dyDescent="0.3">
      <c r="A672" s="1" t="s">
        <v>199</v>
      </c>
      <c r="B672" s="1" t="s">
        <v>34</v>
      </c>
      <c r="C672" s="1" t="s">
        <v>35</v>
      </c>
      <c r="D672" s="1"/>
      <c r="E672" s="1"/>
      <c r="F672" s="1"/>
      <c r="G672" s="1"/>
      <c r="I672" s="15"/>
      <c r="J672" s="15"/>
      <c r="K672" s="15"/>
      <c r="L672" s="17" t="str">
        <f>"'Switch on next AM416 Multiplexer channel.  PulsePort(DataLogger channel C#, Delay)"</f>
        <v>'Switch on next AM416 Multiplexer channel.  PulsePort(DataLogger channel C#, Delay)</v>
      </c>
      <c r="M672" s="15"/>
      <c r="N672" s="15"/>
      <c r="O672" s="15"/>
    </row>
    <row r="673" spans="1:15" ht="16.5" thickBot="1" x14ac:dyDescent="0.3">
      <c r="A673" s="5">
        <f>A665</f>
        <v>2</v>
      </c>
      <c r="B673" s="5"/>
      <c r="C673" s="6">
        <v>3</v>
      </c>
      <c r="D673" s="81" t="s">
        <v>245</v>
      </c>
      <c r="E673" s="82"/>
      <c r="F673" s="82"/>
      <c r="G673" s="83"/>
      <c r="I673" s="15"/>
      <c r="J673" s="15"/>
      <c r="K673" s="15"/>
      <c r="L673" s="15" t="str">
        <f>"PulsePort("&amp;ClockComChannel&amp;",10000)"</f>
        <v>PulsePort(1,10000)</v>
      </c>
      <c r="M673" s="15"/>
      <c r="N673" s="15"/>
      <c r="O673" s="15"/>
    </row>
    <row r="674" spans="1:15" x14ac:dyDescent="0.25">
      <c r="I674" s="15"/>
      <c r="J674" s="15"/>
      <c r="K674" s="15"/>
      <c r="L674" s="15"/>
      <c r="M674" s="15" t="s">
        <v>173</v>
      </c>
      <c r="N674" s="15"/>
      <c r="O674" s="15"/>
    </row>
    <row r="675" spans="1:15" x14ac:dyDescent="0.25">
      <c r="I675" s="15"/>
      <c r="J675" s="15"/>
      <c r="K675" s="15"/>
      <c r="L675" s="15"/>
      <c r="M675" s="17" t="str">
        <f>"'Measure average temperature above heat flux plate.  TCDiff(Dest, Reps, Range, DiffChan, TCType, Tref, RevDiff, Settlingtime, Integ, Mult, Offset)"</f>
        <v>'Measure average temperature above heat flux plate.  TCDiff(Dest, Reps, Range, DiffChan, TCType, Tref, RevDiff, Settlingtime, Integ, Mult, Offset)</v>
      </c>
      <c r="N675" s="15"/>
      <c r="O675" s="15"/>
    </row>
    <row r="676" spans="1:15" x14ac:dyDescent="0.25">
      <c r="A676" t="s">
        <v>188</v>
      </c>
      <c r="B676">
        <f>C673</f>
        <v>3</v>
      </c>
      <c r="C676" t="s">
        <v>174</v>
      </c>
      <c r="D676">
        <f>VLOOKUP("MUXDiffChannel",MUXChans,A673+1,FALSE)</f>
        <v>3</v>
      </c>
      <c r="E676" t="s">
        <v>175</v>
      </c>
      <c r="I676" s="15"/>
      <c r="J676" s="15"/>
      <c r="K676" s="15"/>
      <c r="L676" s="15"/>
      <c r="M676" s="15" t="str">
        <f>CONCATENATE(A676,B676,C676,D676,E676,F676,G676)</f>
        <v>TCDiff(SoilAvTC(3),1,MV2_5C,3,TypeE,PTemp_C,True,0,_60Hz,1,0)</v>
      </c>
      <c r="N676" s="15"/>
      <c r="O676" s="15"/>
    </row>
    <row r="677" spans="1:15" x14ac:dyDescent="0.25">
      <c r="I677" s="15"/>
      <c r="J677" s="15"/>
      <c r="K677" s="15"/>
      <c r="L677" s="15"/>
      <c r="M677" s="17" t="str">
        <f>"'HFP01 Heat Flux Plates"</f>
        <v>'HFP01 Heat Flux Plates</v>
      </c>
      <c r="N677" s="15"/>
      <c r="O677" s="15"/>
    </row>
    <row r="678" spans="1:15" x14ac:dyDescent="0.25">
      <c r="I678" s="15"/>
      <c r="J678" s="15"/>
      <c r="K678" s="15"/>
      <c r="L678" s="15"/>
      <c r="M678" s="15" t="str">
        <f>"'Measure heat flux.  VoltSe (Dest, Reps, Range, SEChan, MeasOfs, SettlingTime, Integ, Mult, Offset)"</f>
        <v>'Measure heat flux.  VoltSe (Dest, Reps, Range, SEChan, MeasOfs, SettlingTime, Integ, Mult, Offset)</v>
      </c>
      <c r="N678" s="15"/>
      <c r="O678" s="15"/>
    </row>
    <row r="679" spans="1:15" x14ac:dyDescent="0.25">
      <c r="A679" t="s">
        <v>189</v>
      </c>
      <c r="B679">
        <f>C673</f>
        <v>3</v>
      </c>
      <c r="C679" t="s">
        <v>209</v>
      </c>
      <c r="D679">
        <f>VLOOKUP("MUXSEChannel",MUXChans,A673+1,FALSE)</f>
        <v>4</v>
      </c>
      <c r="E679" t="s">
        <v>210</v>
      </c>
      <c r="F679">
        <f>ROUND(VLOOKUP(C673,FluxPlateCalibrations,6,FALSE),2)</f>
        <v>16.71</v>
      </c>
      <c r="G679" t="s">
        <v>48</v>
      </c>
      <c r="I679" s="15"/>
      <c r="J679" s="15"/>
      <c r="K679" s="15"/>
      <c r="L679" s="15"/>
      <c r="M679" s="15" t="str">
        <f>CONCATENATE(A679,B679,C679,D679,E679,F679,G679)</f>
        <v>VoltSe (HeatFlux(3),1,MV7_5,4,0,0,_60Hz,16.71,0)</v>
      </c>
      <c r="N679" s="15"/>
      <c r="O679" s="15"/>
    </row>
    <row r="680" spans="1:15" ht="15.75" thickBot="1" x14ac:dyDescent="0.3">
      <c r="A680" s="1" t="s">
        <v>199</v>
      </c>
      <c r="B680" s="1" t="s">
        <v>34</v>
      </c>
      <c r="C680" s="1" t="s">
        <v>35</v>
      </c>
      <c r="D680" s="1"/>
      <c r="E680" s="1"/>
      <c r="F680" s="1"/>
      <c r="G680" s="1"/>
      <c r="I680" s="15"/>
      <c r="J680" s="15"/>
      <c r="K680" s="15"/>
      <c r="L680" s="17" t="str">
        <f>"'Switch on next AM416 Multiplexer channel.  PulsePort(DataLogger channel C#, Delay)"</f>
        <v>'Switch on next AM416 Multiplexer channel.  PulsePort(DataLogger channel C#, Delay)</v>
      </c>
      <c r="M680" s="15"/>
      <c r="N680" s="15"/>
      <c r="O680" s="15"/>
    </row>
    <row r="681" spans="1:15" ht="16.5" thickBot="1" x14ac:dyDescent="0.3">
      <c r="A681" s="5">
        <f>A673</f>
        <v>2</v>
      </c>
      <c r="B681" s="5"/>
      <c r="C681" s="6">
        <v>4</v>
      </c>
      <c r="D681" s="81" t="s">
        <v>245</v>
      </c>
      <c r="E681" s="82"/>
      <c r="F681" s="82"/>
      <c r="G681" s="83"/>
      <c r="I681" s="15"/>
      <c r="J681" s="15"/>
      <c r="K681" s="15"/>
      <c r="L681" s="15" t="str">
        <f>"PulsePort("&amp;ClockComChannel&amp;",10000)"</f>
        <v>PulsePort(1,10000)</v>
      </c>
      <c r="M681" s="15"/>
      <c r="N681" s="15"/>
      <c r="O681" s="15"/>
    </row>
    <row r="682" spans="1:15" x14ac:dyDescent="0.25">
      <c r="I682" s="15"/>
      <c r="J682" s="15"/>
      <c r="K682" s="15"/>
      <c r="L682" s="15"/>
      <c r="M682" s="15" t="s">
        <v>173</v>
      </c>
      <c r="N682" s="15"/>
      <c r="O682" s="15"/>
    </row>
    <row r="683" spans="1:15" x14ac:dyDescent="0.25">
      <c r="I683" s="15"/>
      <c r="J683" s="15"/>
      <c r="K683" s="15"/>
      <c r="L683" s="15"/>
      <c r="M683" s="17" t="str">
        <f>"'Measure average temperature above heat flux plate.  TCDiff(Dest, Reps, Range, DiffChan, TCType, Tref, RevDiff, Settlingtime, Integ, Mult, Offset)"</f>
        <v>'Measure average temperature above heat flux plate.  TCDiff(Dest, Reps, Range, DiffChan, TCType, Tref, RevDiff, Settlingtime, Integ, Mult, Offset)</v>
      </c>
      <c r="N683" s="15"/>
      <c r="O683" s="15"/>
    </row>
    <row r="684" spans="1:15" x14ac:dyDescent="0.25">
      <c r="A684" t="s">
        <v>188</v>
      </c>
      <c r="B684">
        <f>C681</f>
        <v>4</v>
      </c>
      <c r="C684" t="s">
        <v>174</v>
      </c>
      <c r="D684">
        <f>VLOOKUP("MUXDiffChannel",MUXChans,A681+1,FALSE)</f>
        <v>3</v>
      </c>
      <c r="E684" t="s">
        <v>175</v>
      </c>
      <c r="I684" s="15"/>
      <c r="J684" s="15"/>
      <c r="K684" s="15"/>
      <c r="L684" s="15"/>
      <c r="M684" s="15" t="str">
        <f>CONCATENATE(A684,B684,C684,D684,E684,F684,G684)</f>
        <v>TCDiff(SoilAvTC(4),1,MV2_5C,3,TypeE,PTemp_C,True,0,_60Hz,1,0)</v>
      </c>
      <c r="N684" s="15"/>
      <c r="O684" s="15"/>
    </row>
    <row r="685" spans="1:15" x14ac:dyDescent="0.25">
      <c r="I685" s="15"/>
      <c r="J685" s="15"/>
      <c r="K685" s="15"/>
      <c r="L685" s="15"/>
      <c r="M685" s="17" t="str">
        <f>"'HFP01 Heat Flux Plates"</f>
        <v>'HFP01 Heat Flux Plates</v>
      </c>
      <c r="N685" s="15"/>
      <c r="O685" s="15"/>
    </row>
    <row r="686" spans="1:15" x14ac:dyDescent="0.25">
      <c r="I686" s="15"/>
      <c r="J686" s="15"/>
      <c r="K686" s="15"/>
      <c r="L686" s="15"/>
      <c r="M686" s="15" t="str">
        <f>"'Measure heat flux.  VoltSe (Dest, Reps, Range, SEChan, MeasOfs, SettlingTime, Integ, Mult, Offset)"</f>
        <v>'Measure heat flux.  VoltSe (Dest, Reps, Range, SEChan, MeasOfs, SettlingTime, Integ, Mult, Offset)</v>
      </c>
      <c r="N686" s="15"/>
      <c r="O686" s="15"/>
    </row>
    <row r="687" spans="1:15" x14ac:dyDescent="0.25">
      <c r="A687" t="s">
        <v>189</v>
      </c>
      <c r="B687">
        <f>C681</f>
        <v>4</v>
      </c>
      <c r="C687" t="s">
        <v>209</v>
      </c>
      <c r="D687">
        <f>VLOOKUP("MUXSEChannel",MUXChans,A681+1,FALSE)</f>
        <v>4</v>
      </c>
      <c r="E687" t="s">
        <v>210</v>
      </c>
      <c r="F687">
        <f>ROUND(VLOOKUP(C681,FluxPlateCalibrations,6,FALSE),2)</f>
        <v>16.53</v>
      </c>
      <c r="G687" t="s">
        <v>48</v>
      </c>
      <c r="I687" s="15"/>
      <c r="J687" s="15"/>
      <c r="K687" s="15"/>
      <c r="L687" s="15"/>
      <c r="M687" s="15" t="str">
        <f>CONCATENATE(A687,B687,C687,D687,E687,F687,G687)</f>
        <v>VoltSe (HeatFlux(4),1,MV7_5,4,0,0,_60Hz,16.53,0)</v>
      </c>
      <c r="N687" s="15"/>
      <c r="O687" s="15"/>
    </row>
    <row r="688" spans="1:15" ht="15.75" thickBot="1" x14ac:dyDescent="0.3">
      <c r="A688" s="1" t="s">
        <v>199</v>
      </c>
      <c r="B688" s="1" t="s">
        <v>34</v>
      </c>
      <c r="C688" s="1" t="s">
        <v>35</v>
      </c>
      <c r="D688" s="1"/>
      <c r="E688" s="1"/>
      <c r="F688" s="1"/>
      <c r="G688" s="1"/>
      <c r="I688" s="15"/>
      <c r="J688" s="15"/>
      <c r="K688" s="15"/>
      <c r="L688" s="17" t="str">
        <f>"'Switch on next AM416 Multiplexer channel.  PulsePort(DataLogger channel C#, Delay)"</f>
        <v>'Switch on next AM416 Multiplexer channel.  PulsePort(DataLogger channel C#, Delay)</v>
      </c>
      <c r="M688" s="15"/>
      <c r="N688" s="15"/>
      <c r="O688" s="15"/>
    </row>
    <row r="689" spans="1:15" ht="16.5" thickBot="1" x14ac:dyDescent="0.3">
      <c r="A689" s="5">
        <f>A681</f>
        <v>2</v>
      </c>
      <c r="B689" s="5"/>
      <c r="C689" s="6">
        <v>5</v>
      </c>
      <c r="D689" s="81" t="s">
        <v>245</v>
      </c>
      <c r="E689" s="82"/>
      <c r="F689" s="82"/>
      <c r="G689" s="83"/>
      <c r="I689" s="15"/>
      <c r="J689" s="15"/>
      <c r="K689" s="15"/>
      <c r="L689" s="15" t="str">
        <f>"PulsePort("&amp;ClockComChannel&amp;",10000)"</f>
        <v>PulsePort(1,10000)</v>
      </c>
      <c r="M689" s="15"/>
      <c r="N689" s="15"/>
      <c r="O689" s="15"/>
    </row>
    <row r="690" spans="1:15" x14ac:dyDescent="0.25">
      <c r="I690" s="15"/>
      <c r="J690" s="15"/>
      <c r="K690" s="15"/>
      <c r="L690" s="15"/>
      <c r="M690" s="15" t="s">
        <v>173</v>
      </c>
      <c r="N690" s="15"/>
      <c r="O690" s="15"/>
    </row>
    <row r="691" spans="1:15" x14ac:dyDescent="0.25">
      <c r="I691" s="15"/>
      <c r="J691" s="15"/>
      <c r="K691" s="15"/>
      <c r="L691" s="15"/>
      <c r="M691" s="17" t="str">
        <f>"'Measure average temperature above heat flux plate.  TCDiff(Dest, Reps, Range, DiffChan, TCType, Tref, RevDiff, Settlingtime, Integ, Mult, Offset)"</f>
        <v>'Measure average temperature above heat flux plate.  TCDiff(Dest, Reps, Range, DiffChan, TCType, Tref, RevDiff, Settlingtime, Integ, Mult, Offset)</v>
      </c>
      <c r="N691" s="15"/>
      <c r="O691" s="15"/>
    </row>
    <row r="692" spans="1:15" x14ac:dyDescent="0.25">
      <c r="A692" t="s">
        <v>188</v>
      </c>
      <c r="B692">
        <f>C689</f>
        <v>5</v>
      </c>
      <c r="C692" t="s">
        <v>174</v>
      </c>
      <c r="D692">
        <f>VLOOKUP("MUXDiffChannel",MUXChans,A689+1,FALSE)</f>
        <v>3</v>
      </c>
      <c r="E692" t="s">
        <v>175</v>
      </c>
      <c r="I692" s="15"/>
      <c r="J692" s="15"/>
      <c r="K692" s="15"/>
      <c r="L692" s="15"/>
      <c r="M692" s="15" t="str">
        <f>CONCATENATE(A692,B692,C692,D692,E692,F692,G692)</f>
        <v>TCDiff(SoilAvTC(5),1,MV2_5C,3,TypeE,PTemp_C,True,0,_60Hz,1,0)</v>
      </c>
      <c r="N692" s="15"/>
      <c r="O692" s="15"/>
    </row>
    <row r="693" spans="1:15" x14ac:dyDescent="0.25">
      <c r="I693" s="15"/>
      <c r="J693" s="15"/>
      <c r="K693" s="15"/>
      <c r="L693" s="15"/>
      <c r="M693" s="17" t="str">
        <f>"'HFP01 Heat Flux Plates"</f>
        <v>'HFP01 Heat Flux Plates</v>
      </c>
      <c r="N693" s="15"/>
      <c r="O693" s="15"/>
    </row>
    <row r="694" spans="1:15" x14ac:dyDescent="0.25">
      <c r="I694" s="15"/>
      <c r="J694" s="15"/>
      <c r="K694" s="15"/>
      <c r="L694" s="15"/>
      <c r="M694" s="15" t="str">
        <f>"'Measure heat flux.  VoltSe (Dest, Reps, Range, SEChan, MeasOfs, SettlingTime, Integ, Mult, Offset)"</f>
        <v>'Measure heat flux.  VoltSe (Dest, Reps, Range, SEChan, MeasOfs, SettlingTime, Integ, Mult, Offset)</v>
      </c>
      <c r="N694" s="15"/>
      <c r="O694" s="15"/>
    </row>
    <row r="695" spans="1:15" x14ac:dyDescent="0.25">
      <c r="A695" t="s">
        <v>189</v>
      </c>
      <c r="B695">
        <f>C689</f>
        <v>5</v>
      </c>
      <c r="C695" t="s">
        <v>209</v>
      </c>
      <c r="D695">
        <f>VLOOKUP("MUXSEChannel",MUXChans,A689+1,FALSE)</f>
        <v>4</v>
      </c>
      <c r="E695" t="s">
        <v>210</v>
      </c>
      <c r="F695">
        <f>ROUND(VLOOKUP(C689,FluxPlateCalibrations,6,FALSE),2)</f>
        <v>16.39</v>
      </c>
      <c r="G695" t="s">
        <v>48</v>
      </c>
      <c r="I695" s="15"/>
      <c r="J695" s="15"/>
      <c r="K695" s="15"/>
      <c r="L695" s="15"/>
      <c r="M695" s="15" t="str">
        <f>CONCATENATE(A695,B695,C695,D695,E695,F695,G695)</f>
        <v>VoltSe (HeatFlux(5),1,MV7_5,4,0,0,_60Hz,16.39,0)</v>
      </c>
      <c r="N695" s="15"/>
      <c r="O695" s="15"/>
    </row>
    <row r="696" spans="1:15" ht="15.75" thickBot="1" x14ac:dyDescent="0.3">
      <c r="A696" s="1" t="s">
        <v>199</v>
      </c>
      <c r="B696" s="1" t="s">
        <v>34</v>
      </c>
      <c r="C696" s="1" t="s">
        <v>35</v>
      </c>
      <c r="D696" s="1"/>
      <c r="E696" s="1"/>
      <c r="F696" s="1"/>
      <c r="G696" s="1"/>
      <c r="I696" s="15"/>
      <c r="J696" s="15"/>
      <c r="K696" s="15"/>
      <c r="L696" s="17" t="str">
        <f>"'Switch on next AM416 Multiplexer channel.  PulsePort(DataLogger channel C#, Delay)"</f>
        <v>'Switch on next AM416 Multiplexer channel.  PulsePort(DataLogger channel C#, Delay)</v>
      </c>
      <c r="M696" s="15"/>
      <c r="N696" s="15"/>
      <c r="O696" s="15"/>
    </row>
    <row r="697" spans="1:15" ht="16.5" thickBot="1" x14ac:dyDescent="0.3">
      <c r="A697" s="5">
        <f>A689</f>
        <v>2</v>
      </c>
      <c r="B697" s="5"/>
      <c r="C697" s="6">
        <v>6</v>
      </c>
      <c r="D697" s="81" t="s">
        <v>245</v>
      </c>
      <c r="E697" s="82"/>
      <c r="F697" s="82"/>
      <c r="G697" s="83"/>
      <c r="I697" s="15"/>
      <c r="J697" s="15"/>
      <c r="K697" s="15"/>
      <c r="L697" s="15" t="str">
        <f>"PulsePort("&amp;ClockComChannel&amp;",10000)"</f>
        <v>PulsePort(1,10000)</v>
      </c>
      <c r="M697" s="15"/>
      <c r="N697" s="15"/>
      <c r="O697" s="15"/>
    </row>
    <row r="698" spans="1:15" x14ac:dyDescent="0.25">
      <c r="I698" s="15"/>
      <c r="J698" s="15"/>
      <c r="K698" s="15"/>
      <c r="L698" s="15"/>
      <c r="M698" s="15" t="s">
        <v>173</v>
      </c>
      <c r="N698" s="15"/>
      <c r="O698" s="15"/>
    </row>
    <row r="699" spans="1:15" x14ac:dyDescent="0.25">
      <c r="I699" s="15"/>
      <c r="J699" s="15"/>
      <c r="K699" s="15"/>
      <c r="L699" s="15"/>
      <c r="M699" s="17" t="str">
        <f>"'Measure average temperature above heat flux plate.  TCDiff(Dest, Reps, Range, DiffChan, TCType, Tref, RevDiff, Settlingtime, Integ, Mult, Offset)"</f>
        <v>'Measure average temperature above heat flux plate.  TCDiff(Dest, Reps, Range, DiffChan, TCType, Tref, RevDiff, Settlingtime, Integ, Mult, Offset)</v>
      </c>
      <c r="N699" s="15"/>
      <c r="O699" s="15"/>
    </row>
    <row r="700" spans="1:15" x14ac:dyDescent="0.25">
      <c r="A700" t="s">
        <v>188</v>
      </c>
      <c r="B700">
        <f>C697</f>
        <v>6</v>
      </c>
      <c r="C700" t="s">
        <v>174</v>
      </c>
      <c r="D700">
        <f>VLOOKUP("MUXDiffChannel",MUXChans,A697+1,FALSE)</f>
        <v>3</v>
      </c>
      <c r="E700" t="s">
        <v>175</v>
      </c>
      <c r="I700" s="15"/>
      <c r="J700" s="15"/>
      <c r="K700" s="15"/>
      <c r="L700" s="15"/>
      <c r="M700" s="15" t="str">
        <f>CONCATENATE(A700,B700,C700,D700,E700,F700,G700)</f>
        <v>TCDiff(SoilAvTC(6),1,MV2_5C,3,TypeE,PTemp_C,True,0,_60Hz,1,0)</v>
      </c>
      <c r="N700" s="15"/>
      <c r="O700" s="15"/>
    </row>
    <row r="701" spans="1:15" x14ac:dyDescent="0.25">
      <c r="I701" s="15"/>
      <c r="J701" s="15"/>
      <c r="K701" s="15"/>
      <c r="L701" s="15"/>
      <c r="M701" s="17" t="str">
        <f>"'HFP01 Heat Flux Plates"</f>
        <v>'HFP01 Heat Flux Plates</v>
      </c>
      <c r="N701" s="15"/>
      <c r="O701" s="15"/>
    </row>
    <row r="702" spans="1:15" x14ac:dyDescent="0.25">
      <c r="I702" s="15"/>
      <c r="J702" s="15"/>
      <c r="K702" s="15"/>
      <c r="L702" s="15"/>
      <c r="M702" s="15" t="str">
        <f>"'Measure heat flux.  VoltSe (Dest, Reps, Range, SEChan, MeasOfs, SettlingTime, Integ, Mult, Offset)"</f>
        <v>'Measure heat flux.  VoltSe (Dest, Reps, Range, SEChan, MeasOfs, SettlingTime, Integ, Mult, Offset)</v>
      </c>
      <c r="N702" s="15"/>
      <c r="O702" s="15"/>
    </row>
    <row r="703" spans="1:15" x14ac:dyDescent="0.25">
      <c r="A703" t="s">
        <v>189</v>
      </c>
      <c r="B703">
        <f>C697</f>
        <v>6</v>
      </c>
      <c r="C703" t="s">
        <v>209</v>
      </c>
      <c r="D703">
        <f>VLOOKUP("MUXSEChannel",MUXChans,A697+1,FALSE)</f>
        <v>4</v>
      </c>
      <c r="E703" t="s">
        <v>210</v>
      </c>
      <c r="F703">
        <f>ROUND(VLOOKUP(C697,FluxPlateCalibrations,6,FALSE),2)</f>
        <v>16.079999999999998</v>
      </c>
      <c r="G703" t="s">
        <v>48</v>
      </c>
      <c r="I703" s="15"/>
      <c r="J703" s="15"/>
      <c r="K703" s="15"/>
      <c r="L703" s="15"/>
      <c r="M703" s="15" t="str">
        <f>CONCATENATE(A703,B703,C703,D703,E703,F703,G703)</f>
        <v>VoltSe (HeatFlux(6),1,MV7_5,4,0,0,_60Hz,16.08,0)</v>
      </c>
      <c r="N703" s="15"/>
      <c r="O703" s="15"/>
    </row>
    <row r="704" spans="1:15" ht="15.75" thickBot="1" x14ac:dyDescent="0.3">
      <c r="A704" s="1" t="s">
        <v>199</v>
      </c>
      <c r="B704" s="1" t="s">
        <v>34</v>
      </c>
      <c r="C704" s="1" t="s">
        <v>35</v>
      </c>
      <c r="D704" s="1"/>
      <c r="E704" s="1"/>
      <c r="F704" s="1"/>
      <c r="G704" s="1"/>
      <c r="I704" s="15"/>
      <c r="J704" s="15"/>
      <c r="K704" s="15"/>
      <c r="L704" s="17" t="str">
        <f>"'Switch on next AM416 Multiplexer channel.  PulsePort(DataLogger channel C#, Delay)"</f>
        <v>'Switch on next AM416 Multiplexer channel.  PulsePort(DataLogger channel C#, Delay)</v>
      </c>
      <c r="M704" s="15"/>
      <c r="N704" s="15"/>
      <c r="O704" s="15"/>
    </row>
    <row r="705" spans="1:15" ht="16.5" thickBot="1" x14ac:dyDescent="0.3">
      <c r="A705" s="5">
        <f>A689</f>
        <v>2</v>
      </c>
      <c r="B705" s="5"/>
      <c r="C705" s="6">
        <v>7</v>
      </c>
      <c r="D705" s="81" t="s">
        <v>245</v>
      </c>
      <c r="E705" s="82"/>
      <c r="F705" s="82"/>
      <c r="G705" s="83"/>
      <c r="I705" s="15"/>
      <c r="J705" s="15"/>
      <c r="K705" s="15"/>
      <c r="L705" s="15" t="str">
        <f>"PulsePort("&amp;ClockComChannel&amp;",10000)"</f>
        <v>PulsePort(1,10000)</v>
      </c>
      <c r="M705" s="15"/>
      <c r="N705" s="15"/>
      <c r="O705" s="15"/>
    </row>
    <row r="706" spans="1:15" x14ac:dyDescent="0.25">
      <c r="I706" s="15"/>
      <c r="J706" s="15"/>
      <c r="K706" s="15"/>
      <c r="L706" s="15"/>
      <c r="M706" s="15" t="s">
        <v>173</v>
      </c>
      <c r="N706" s="15"/>
      <c r="O706" s="15"/>
    </row>
    <row r="707" spans="1:15" x14ac:dyDescent="0.25">
      <c r="I707" s="15"/>
      <c r="J707" s="15"/>
      <c r="K707" s="15"/>
      <c r="L707" s="15"/>
      <c r="M707" s="17" t="str">
        <f>"'Measure average temperature above heat flux plate.  TCDiff(Dest, Reps, Range, DiffChan, TCType, Tref, RevDiff, Settlingtime, Integ, Mult, Offset)"</f>
        <v>'Measure average temperature above heat flux plate.  TCDiff(Dest, Reps, Range, DiffChan, TCType, Tref, RevDiff, Settlingtime, Integ, Mult, Offset)</v>
      </c>
      <c r="N707" s="15"/>
      <c r="O707" s="15"/>
    </row>
    <row r="708" spans="1:15" x14ac:dyDescent="0.25">
      <c r="A708" t="s">
        <v>188</v>
      </c>
      <c r="B708">
        <f>C705</f>
        <v>7</v>
      </c>
      <c r="C708" t="s">
        <v>174</v>
      </c>
      <c r="D708">
        <f>VLOOKUP("MUXDiffChannel",MUXChans,A705+1,FALSE)</f>
        <v>3</v>
      </c>
      <c r="E708" t="s">
        <v>175</v>
      </c>
      <c r="I708" s="15"/>
      <c r="J708" s="15"/>
      <c r="K708" s="15"/>
      <c r="L708" s="15"/>
      <c r="M708" s="15" t="str">
        <f>CONCATENATE(A708,B708,C708,D708,E708,F708,G708)</f>
        <v>TCDiff(SoilAvTC(7),1,MV2_5C,3,TypeE,PTemp_C,True,0,_60Hz,1,0)</v>
      </c>
      <c r="N708" s="15"/>
      <c r="O708" s="15"/>
    </row>
    <row r="709" spans="1:15" x14ac:dyDescent="0.25">
      <c r="I709" s="15"/>
      <c r="J709" s="15"/>
      <c r="K709" s="15"/>
      <c r="L709" s="15"/>
      <c r="M709" s="17" t="str">
        <f>"'HFP01 Heat Flux Plates"</f>
        <v>'HFP01 Heat Flux Plates</v>
      </c>
      <c r="N709" s="15"/>
      <c r="O709" s="15"/>
    </row>
    <row r="710" spans="1:15" x14ac:dyDescent="0.25">
      <c r="I710" s="15"/>
      <c r="J710" s="15"/>
      <c r="K710" s="15"/>
      <c r="L710" s="15"/>
      <c r="M710" s="15" t="str">
        <f>"'Measure heat flux.  VoltSe (Dest, Reps, Range, SEChan, MeasOfs, SettlingTime, Integ, Mult, Offset)"</f>
        <v>'Measure heat flux.  VoltSe (Dest, Reps, Range, SEChan, MeasOfs, SettlingTime, Integ, Mult, Offset)</v>
      </c>
      <c r="N710" s="15"/>
      <c r="O710" s="15"/>
    </row>
    <row r="711" spans="1:15" x14ac:dyDescent="0.25">
      <c r="A711" t="s">
        <v>189</v>
      </c>
      <c r="B711">
        <f>C705</f>
        <v>7</v>
      </c>
      <c r="C711" t="s">
        <v>209</v>
      </c>
      <c r="D711">
        <f>VLOOKUP("MUXSEChannel",MUXChans,A705+1,FALSE)</f>
        <v>4</v>
      </c>
      <c r="E711" t="s">
        <v>210</v>
      </c>
      <c r="F711">
        <f>ROUND(VLOOKUP(C705,FluxPlateCalibrations,6,FALSE),2)</f>
        <v>16.14</v>
      </c>
      <c r="G711" t="s">
        <v>48</v>
      </c>
      <c r="I711" s="15"/>
      <c r="J711" s="15"/>
      <c r="K711" s="15"/>
      <c r="L711" s="15"/>
      <c r="M711" s="15" t="str">
        <f>CONCATENATE(A711,B711,C711,D711,E711,F711,G711)</f>
        <v>VoltSe (HeatFlux(7),1,MV7_5,4,0,0,_60Hz,16.14,0)</v>
      </c>
      <c r="N711" s="15"/>
      <c r="O711" s="15"/>
    </row>
    <row r="712" spans="1:15" ht="15.75" thickBot="1" x14ac:dyDescent="0.3">
      <c r="A712" s="1" t="s">
        <v>199</v>
      </c>
      <c r="B712" s="1" t="s">
        <v>34</v>
      </c>
      <c r="C712" s="1" t="s">
        <v>35</v>
      </c>
      <c r="D712" s="1"/>
      <c r="E712" s="1"/>
      <c r="F712" s="1"/>
      <c r="G712" s="1"/>
      <c r="I712" s="15"/>
      <c r="J712" s="15"/>
      <c r="K712" s="15"/>
      <c r="L712" s="17" t="str">
        <f>"'Switch on next AM416 Multiplexer channel.  PulsePort(DataLogger channel C#, Delay)"</f>
        <v>'Switch on next AM416 Multiplexer channel.  PulsePort(DataLogger channel C#, Delay)</v>
      </c>
      <c r="M712" s="15"/>
      <c r="N712" s="15"/>
      <c r="O712" s="15"/>
    </row>
    <row r="713" spans="1:15" ht="16.5" thickBot="1" x14ac:dyDescent="0.3">
      <c r="A713" s="5">
        <f>A697</f>
        <v>2</v>
      </c>
      <c r="B713" s="5"/>
      <c r="C713" s="6">
        <v>8</v>
      </c>
      <c r="D713" s="81" t="s">
        <v>245</v>
      </c>
      <c r="E713" s="82"/>
      <c r="F713" s="82"/>
      <c r="G713" s="83"/>
      <c r="I713" s="15"/>
      <c r="J713" s="15"/>
      <c r="K713" s="15"/>
      <c r="L713" s="15" t="str">
        <f>"PulsePort("&amp;ClockComChannel&amp;",10000)"</f>
        <v>PulsePort(1,10000)</v>
      </c>
      <c r="M713" s="15"/>
      <c r="N713" s="15"/>
      <c r="O713" s="15"/>
    </row>
    <row r="714" spans="1:15" x14ac:dyDescent="0.25">
      <c r="I714" s="15"/>
      <c r="J714" s="15"/>
      <c r="K714" s="15"/>
      <c r="L714" s="15"/>
      <c r="M714" s="15" t="s">
        <v>173</v>
      </c>
      <c r="N714" s="15"/>
      <c r="O714" s="15"/>
    </row>
    <row r="715" spans="1:15" x14ac:dyDescent="0.25">
      <c r="I715" s="15"/>
      <c r="J715" s="15"/>
      <c r="K715" s="15"/>
      <c r="L715" s="15"/>
      <c r="M715" s="17" t="str">
        <f>"'Measure average temperature above heat flux plate.  TCDiff(Dest, Reps, Range, DiffChan, TCType, Tref, RevDiff, Settlingtime, Integ, Mult, Offset)"</f>
        <v>'Measure average temperature above heat flux plate.  TCDiff(Dest, Reps, Range, DiffChan, TCType, Tref, RevDiff, Settlingtime, Integ, Mult, Offset)</v>
      </c>
      <c r="N715" s="15"/>
      <c r="O715" s="15"/>
    </row>
    <row r="716" spans="1:15" x14ac:dyDescent="0.25">
      <c r="A716" t="s">
        <v>188</v>
      </c>
      <c r="B716">
        <f>C713</f>
        <v>8</v>
      </c>
      <c r="C716" t="s">
        <v>174</v>
      </c>
      <c r="D716">
        <f>VLOOKUP("MUXDiffChannel",MUXChans,A713+1,FALSE)</f>
        <v>3</v>
      </c>
      <c r="E716" t="s">
        <v>175</v>
      </c>
      <c r="I716" s="15"/>
      <c r="J716" s="15"/>
      <c r="K716" s="15"/>
      <c r="L716" s="15"/>
      <c r="M716" s="15" t="str">
        <f>CONCATENATE(A716,B716,C716,D716,E716,F716,G716)</f>
        <v>TCDiff(SoilAvTC(8),1,MV2_5C,3,TypeE,PTemp_C,True,0,_60Hz,1,0)</v>
      </c>
      <c r="N716" s="15"/>
      <c r="O716" s="15"/>
    </row>
    <row r="717" spans="1:15" x14ac:dyDescent="0.25">
      <c r="I717" s="15"/>
      <c r="J717" s="15"/>
      <c r="K717" s="15"/>
      <c r="L717" s="15"/>
      <c r="M717" s="17" t="str">
        <f>"'HFP01 Heat Flux Plates"</f>
        <v>'HFP01 Heat Flux Plates</v>
      </c>
      <c r="N717" s="15"/>
      <c r="O717" s="15"/>
    </row>
    <row r="718" spans="1:15" x14ac:dyDescent="0.25">
      <c r="I718" s="15"/>
      <c r="J718" s="15"/>
      <c r="K718" s="15"/>
      <c r="L718" s="15"/>
      <c r="M718" s="15" t="str">
        <f>"'Measure heat flux.  VoltSe (Dest, Reps, Range, SEChan, MeasOfs, SettlingTime, Integ, Mult, Offset)"</f>
        <v>'Measure heat flux.  VoltSe (Dest, Reps, Range, SEChan, MeasOfs, SettlingTime, Integ, Mult, Offset)</v>
      </c>
      <c r="N718" s="15"/>
      <c r="O718" s="15"/>
    </row>
    <row r="719" spans="1:15" x14ac:dyDescent="0.25">
      <c r="A719" t="s">
        <v>189</v>
      </c>
      <c r="B719">
        <f>C713</f>
        <v>8</v>
      </c>
      <c r="C719" t="s">
        <v>209</v>
      </c>
      <c r="D719">
        <f>VLOOKUP("MUXSEChannel",MUXChans,A713+1,FALSE)</f>
        <v>4</v>
      </c>
      <c r="E719" t="s">
        <v>210</v>
      </c>
      <c r="F719">
        <f>ROUND(VLOOKUP(C713,FluxPlateCalibrations,6,FALSE),2)</f>
        <v>16.14</v>
      </c>
      <c r="G719" t="s">
        <v>48</v>
      </c>
      <c r="I719" s="15"/>
      <c r="J719" s="15"/>
      <c r="K719" s="15"/>
      <c r="L719" s="15"/>
      <c r="M719" s="15" t="str">
        <f>CONCATENATE(A719,B719,C719,D719,E719,F719,G719)</f>
        <v>VoltSe (HeatFlux(8),1,MV7_5,4,0,0,_60Hz,16.14,0)</v>
      </c>
      <c r="N719" s="15"/>
      <c r="O719" s="15"/>
    </row>
    <row r="720" spans="1:15" x14ac:dyDescent="0.25">
      <c r="A720" s="16"/>
      <c r="B720" s="16"/>
      <c r="C720" s="16"/>
      <c r="D720" s="16"/>
      <c r="E720" s="16"/>
      <c r="F720" s="16"/>
      <c r="G720" s="16"/>
      <c r="I720" s="15"/>
      <c r="J720" s="15"/>
      <c r="K720" s="17" t="str">
        <f>"'Turn AM16/32 Multiplexer Off.  PortSet(DataLogger channel C#, State 0=off and reset)"</f>
        <v>'Turn AM16/32 Multiplexer Off.  PortSet(DataLogger channel C#, State 0=off and reset)</v>
      </c>
      <c r="L720" s="15"/>
      <c r="M720" s="15"/>
      <c r="N720" s="15"/>
      <c r="O720" s="15"/>
    </row>
    <row r="721" spans="1:15" x14ac:dyDescent="0.25">
      <c r="A721" s="3" t="s">
        <v>29</v>
      </c>
      <c r="B721" s="3">
        <f>VLOOKUP("MUXResComChannel",MUXChans,B525+1,FALSE)</f>
        <v>3</v>
      </c>
      <c r="C721" s="3" t="s">
        <v>48</v>
      </c>
      <c r="D721" s="16"/>
      <c r="E721" s="16"/>
      <c r="F721" s="16"/>
      <c r="G721" s="16"/>
      <c r="I721" s="15"/>
      <c r="J721" s="15"/>
      <c r="K721" s="15" t="str">
        <f>CONCATENATE(A721,B721,C721)</f>
        <v>PortSet(3,0)</v>
      </c>
      <c r="L721" s="15"/>
      <c r="M721" s="15"/>
      <c r="N721" s="15"/>
      <c r="O721" s="15"/>
    </row>
    <row r="722" spans="1:15" ht="15.75" thickBot="1" x14ac:dyDescent="0.3">
      <c r="A722" s="16"/>
      <c r="B722" s="16"/>
      <c r="C722" s="16"/>
      <c r="D722" s="16"/>
      <c r="E722" s="16"/>
      <c r="F722" s="16"/>
      <c r="G722" s="16"/>
      <c r="I722" s="15"/>
      <c r="J722" s="15"/>
      <c r="K722" s="15" t="s">
        <v>53</v>
      </c>
      <c r="L722" s="15"/>
      <c r="M722" s="15"/>
      <c r="N722" s="15"/>
      <c r="O722" s="15"/>
    </row>
    <row r="723" spans="1:15" ht="15.75" thickBot="1" x14ac:dyDescent="0.3">
      <c r="A723" s="5" t="s">
        <v>199</v>
      </c>
      <c r="B723" s="5">
        <v>3</v>
      </c>
      <c r="C723" s="78" t="s">
        <v>293</v>
      </c>
      <c r="D723" s="79"/>
      <c r="E723" s="79"/>
      <c r="F723" s="79"/>
      <c r="G723" s="80"/>
      <c r="I723" s="15"/>
      <c r="J723" s="15"/>
      <c r="K723" s="17" t="str">
        <f>"'Turn AM16/32 Multiplexer On.  PortSet(DataLogger com channel, State 1=on and can respond to clock pulses)"</f>
        <v>'Turn AM16/32 Multiplexer On.  PortSet(DataLogger com channel, State 1=on and can respond to clock pulses)</v>
      </c>
      <c r="L723" s="15"/>
      <c r="M723" s="15"/>
      <c r="N723" s="15"/>
      <c r="O723" s="15"/>
    </row>
    <row r="724" spans="1:15" x14ac:dyDescent="0.25">
      <c r="A724" s="3" t="s">
        <v>29</v>
      </c>
      <c r="B724">
        <f>VLOOKUP("MUXResComChannel",MUXChans,B723+1,FALSE)</f>
        <v>4</v>
      </c>
      <c r="C724" t="s">
        <v>30</v>
      </c>
      <c r="D724" s="16"/>
      <c r="E724" s="16"/>
      <c r="F724" s="16"/>
      <c r="G724" s="16"/>
      <c r="I724" s="15"/>
      <c r="J724" s="15"/>
      <c r="K724" s="15" t="str">
        <f>CONCATENATE(A724,B724,C724)</f>
        <v>PortSet(4,1)</v>
      </c>
      <c r="L724" s="15"/>
      <c r="M724" s="15"/>
      <c r="N724" s="15"/>
      <c r="O724" s="15"/>
    </row>
    <row r="725" spans="1:15" x14ac:dyDescent="0.25">
      <c r="A725" s="16"/>
      <c r="B725" s="16"/>
      <c r="C725" s="16"/>
      <c r="D725" s="16"/>
      <c r="E725" s="16"/>
      <c r="F725" s="16"/>
      <c r="G725" s="16"/>
      <c r="I725" s="15"/>
      <c r="J725" s="15"/>
      <c r="K725" s="15" t="s">
        <v>53</v>
      </c>
      <c r="L725" s="15"/>
      <c r="M725" s="15"/>
      <c r="N725" s="15"/>
      <c r="O725" s="15"/>
    </row>
    <row r="726" spans="1:15" ht="15.75" thickBot="1" x14ac:dyDescent="0.3">
      <c r="A726" s="1" t="s">
        <v>199</v>
      </c>
      <c r="B726" s="1" t="s">
        <v>253</v>
      </c>
      <c r="C726" s="1" t="s">
        <v>35</v>
      </c>
      <c r="D726" s="1"/>
      <c r="E726" s="1"/>
      <c r="F726" s="1"/>
      <c r="G726" s="1"/>
      <c r="I726" s="15"/>
      <c r="J726" s="15"/>
      <c r="K726" s="15"/>
      <c r="L726" s="17" t="str">
        <f>"'Switch on first AM416 Multiplexer channel.  PulsePort(DataLogger channel C#, Delay)"</f>
        <v>'Switch on first AM416 Multiplexer channel.  PulsePort(DataLogger channel C#, Delay)</v>
      </c>
      <c r="M726" s="15"/>
      <c r="N726" s="15"/>
      <c r="O726" s="15"/>
    </row>
    <row r="727" spans="1:15" ht="16.5" thickBot="1" x14ac:dyDescent="0.3">
      <c r="A727" s="5">
        <f>B723</f>
        <v>3</v>
      </c>
      <c r="B727" s="5"/>
      <c r="C727" s="6">
        <v>1</v>
      </c>
      <c r="D727" s="75" t="s">
        <v>250</v>
      </c>
      <c r="E727" s="76"/>
      <c r="F727" s="76"/>
      <c r="G727" s="77"/>
      <c r="I727" s="15"/>
      <c r="J727" s="15"/>
      <c r="K727" s="15"/>
      <c r="L727" s="15" t="str">
        <f>"PulsePort("&amp;ClockComChannel&amp;",10000)"</f>
        <v>PulsePort(1,10000)</v>
      </c>
      <c r="M727" s="15"/>
      <c r="N727" s="15"/>
      <c r="O727" s="15"/>
    </row>
    <row r="728" spans="1:15" x14ac:dyDescent="0.25">
      <c r="I728" s="15"/>
      <c r="J728" s="15"/>
      <c r="K728" s="15"/>
      <c r="L728" s="15"/>
      <c r="M728" s="17" t="str">
        <f>"'LI200X Pyranometer measurements 'SlrMJReflect' and 'SlrkWReflect' VoltDiff(Dest, Reps, Range, DiffChan, RevDiff, SettlingTime, Integ, Mult, Offset)"</f>
        <v>'LI200X Pyranometer measurements 'SlrMJReflect' and 'SlrkWReflect' VoltDiff(Dest, Reps, Range, DiffChan, RevDiff, SettlingTime, Integ, Mult, Offset)</v>
      </c>
      <c r="N728" s="15"/>
      <c r="O728" s="15"/>
    </row>
    <row r="729" spans="1:15" x14ac:dyDescent="0.25">
      <c r="A729" s="49" t="s">
        <v>190</v>
      </c>
      <c r="B729">
        <f>C727</f>
        <v>1</v>
      </c>
      <c r="C729" t="s">
        <v>181</v>
      </c>
      <c r="D729">
        <f>VLOOKUP("MUXDiffChannel",MUXChans,A727+1,FALSE)</f>
        <v>4</v>
      </c>
      <c r="E729" t="s">
        <v>101</v>
      </c>
      <c r="I729" s="15"/>
      <c r="J729" s="15"/>
      <c r="K729" s="15"/>
      <c r="L729" s="15"/>
      <c r="M729" s="15" t="str">
        <f>CONCATENATE(A729,B729,C729,D729,E729,F729,G729)</f>
        <v>VoltDiff(SlrReflectkW(1),1,mV7_5,4,True,0,_60Hz,1,0)</v>
      </c>
      <c r="N729" s="15"/>
      <c r="O729" s="15"/>
    </row>
    <row r="730" spans="1:15" x14ac:dyDescent="0.25">
      <c r="A730" t="s">
        <v>194</v>
      </c>
      <c r="B730">
        <f>C727</f>
        <v>1</v>
      </c>
      <c r="C730" t="s">
        <v>195</v>
      </c>
      <c r="D730">
        <f>B730</f>
        <v>1</v>
      </c>
      <c r="E730" t="s">
        <v>196</v>
      </c>
      <c r="I730" s="15"/>
      <c r="J730" s="15"/>
      <c r="K730" s="15"/>
      <c r="L730" s="15"/>
      <c r="M730" s="15" t="str">
        <f>CONCATENATE(A730,B730,C730,D730,E730,F730)</f>
        <v>if SlrReflectkW(1) &lt; 0 Then SlrReflectkW(1) = 0</v>
      </c>
      <c r="N730" s="15"/>
      <c r="O730" s="15"/>
    </row>
    <row r="731" spans="1:15" x14ac:dyDescent="0.25">
      <c r="A731" t="s">
        <v>193</v>
      </c>
      <c r="B731">
        <f>C727</f>
        <v>1</v>
      </c>
      <c r="C731" s="49" t="s">
        <v>191</v>
      </c>
      <c r="D731">
        <f>B731</f>
        <v>1</v>
      </c>
      <c r="E731" s="49" t="s">
        <v>197</v>
      </c>
      <c r="F731">
        <f>ScanFrequencyInSec*0.0002</f>
        <v>0.12000000000000001</v>
      </c>
      <c r="I731" s="15"/>
      <c r="J731" s="15"/>
      <c r="K731" s="15"/>
      <c r="L731" s="15"/>
      <c r="M731" s="15" t="str">
        <f>CONCATENATE(A731,B731,C731,D731,E731,F731)</f>
        <v>SlrReflectMJ(1)=SlrReflectkW(1) * 0.12</v>
      </c>
      <c r="N731" s="15"/>
      <c r="O731" s="15"/>
    </row>
    <row r="732" spans="1:15" ht="15.75" thickBot="1" x14ac:dyDescent="0.3">
      <c r="A732" t="s">
        <v>192</v>
      </c>
      <c r="B732">
        <f>C727</f>
        <v>1</v>
      </c>
      <c r="C732" s="49" t="s">
        <v>191</v>
      </c>
      <c r="D732">
        <f>B732</f>
        <v>1</v>
      </c>
      <c r="E732" s="49" t="s">
        <v>197</v>
      </c>
      <c r="F732">
        <v>0.2</v>
      </c>
      <c r="I732" s="15"/>
      <c r="J732" s="15"/>
      <c r="K732" s="15"/>
      <c r="L732" s="15"/>
      <c r="M732" s="15" t="str">
        <f>CONCATENATE(A732,B732,C732,D732,E732,F732)</f>
        <v>SlrReflectkW(1)=SlrReflectkW(1) * 0.2</v>
      </c>
      <c r="N732" s="15"/>
      <c r="O732" s="15"/>
    </row>
    <row r="733" spans="1:15" ht="16.5" thickBot="1" x14ac:dyDescent="0.3">
      <c r="C733" s="6">
        <v>24</v>
      </c>
      <c r="D733" s="72" t="s">
        <v>254</v>
      </c>
      <c r="E733" s="73"/>
      <c r="F733" s="73"/>
      <c r="G733" s="74"/>
      <c r="I733" s="15"/>
      <c r="J733" s="15"/>
      <c r="K733" s="15"/>
      <c r="L733" s="15"/>
      <c r="M733" s="15" t="str">
        <f>"'108 Temperature Probe measurement 'T108_C.  Therm108(Dest,Reps,SEChan,VxChan,Settlingtime,Integration,Multiplier,Offset)"</f>
        <v>'108 Temperature Probe measurement 'T108_C.  Therm108(Dest,Reps,SEChan,VxChan,Settlingtime,Integration,Multiplier,Offset)</v>
      </c>
      <c r="N733" s="15"/>
      <c r="O733" s="15"/>
    </row>
    <row r="734" spans="1:15" x14ac:dyDescent="0.25">
      <c r="A734" t="s">
        <v>198</v>
      </c>
      <c r="B734">
        <v>24</v>
      </c>
      <c r="C734" t="s">
        <v>130</v>
      </c>
      <c r="D734">
        <f>VLOOKUP("MUXSEChannel",MUXChans,A727+1,FALSE)</f>
        <v>16</v>
      </c>
      <c r="E734" t="s">
        <v>46</v>
      </c>
      <c r="F734" t="str">
        <f>"VX"&amp;VLOOKUP("MUXVXChannel",MUXChannnels,A727+1,FALSE)</f>
        <v>VX1</v>
      </c>
      <c r="G734" t="s">
        <v>133</v>
      </c>
      <c r="I734" s="15"/>
      <c r="J734" s="15"/>
      <c r="K734" s="15"/>
      <c r="L734" s="15"/>
      <c r="M734" s="15" t="str">
        <f>CONCATENATE(A734,B734,C734,D734,E734,F734,G734)</f>
        <v>Therm108(SoilSurfTC(24),1,16,VX1,0,_60Hz,1,0)</v>
      </c>
      <c r="N734" s="15"/>
      <c r="O734" s="15"/>
    </row>
    <row r="735" spans="1:15" ht="15.75" thickBot="1" x14ac:dyDescent="0.3">
      <c r="A735" s="1" t="s">
        <v>199</v>
      </c>
      <c r="B735" s="1" t="s">
        <v>253</v>
      </c>
      <c r="C735" s="1" t="s">
        <v>35</v>
      </c>
      <c r="D735" s="1"/>
      <c r="E735" s="1"/>
      <c r="F735" s="1"/>
      <c r="G735" s="1"/>
      <c r="I735" s="15"/>
      <c r="J735" s="15"/>
      <c r="K735" s="15"/>
      <c r="L735" s="17" t="str">
        <f>"'Switch on next AM416 Multiplexer channel.  PulsePort(DataLogger channel C#, Delay)"</f>
        <v>'Switch on next AM416 Multiplexer channel.  PulsePort(DataLogger channel C#, Delay)</v>
      </c>
      <c r="M735" s="15"/>
      <c r="N735" s="15"/>
      <c r="O735" s="15"/>
    </row>
    <row r="736" spans="1:15" ht="16.5" thickBot="1" x14ac:dyDescent="0.3">
      <c r="A736" s="5">
        <f>A727</f>
        <v>3</v>
      </c>
      <c r="B736" s="5"/>
      <c r="C736" s="6">
        <v>2</v>
      </c>
      <c r="D736" s="75" t="s">
        <v>250</v>
      </c>
      <c r="E736" s="76"/>
      <c r="F736" s="76"/>
      <c r="G736" s="77"/>
      <c r="I736" s="15"/>
      <c r="J736" s="15"/>
      <c r="K736" s="15"/>
      <c r="L736" s="15" t="str">
        <f>"PulsePort("&amp;ClockComChannel&amp;",10000)"</f>
        <v>PulsePort(1,10000)</v>
      </c>
      <c r="M736" s="15"/>
      <c r="N736" s="15"/>
      <c r="O736" s="15"/>
    </row>
    <row r="737" spans="1:15" x14ac:dyDescent="0.25">
      <c r="I737" s="15"/>
      <c r="J737" s="15"/>
      <c r="K737" s="15"/>
      <c r="L737" s="15"/>
      <c r="M737" s="17" t="str">
        <f>"'LI200X Pyranometer measurements 'SlrMJReflect' and 'SlrkWReflect' VoltDiff(Dest, Reps, Range, DiffChan, RevDiff, SettlingTime, Integ, Mult, Offset)"</f>
        <v>'LI200X Pyranometer measurements 'SlrMJReflect' and 'SlrkWReflect' VoltDiff(Dest, Reps, Range, DiffChan, RevDiff, SettlingTime, Integ, Mult, Offset)</v>
      </c>
      <c r="N737" s="15"/>
      <c r="O737" s="15"/>
    </row>
    <row r="738" spans="1:15" x14ac:dyDescent="0.25">
      <c r="A738" s="49" t="s">
        <v>190</v>
      </c>
      <c r="B738">
        <f>C736</f>
        <v>2</v>
      </c>
      <c r="C738" t="s">
        <v>181</v>
      </c>
      <c r="D738">
        <f>VLOOKUP("MUXDiffChannel",MUXChans,A736+1,FALSE)</f>
        <v>4</v>
      </c>
      <c r="E738" t="s">
        <v>101</v>
      </c>
      <c r="I738" s="15"/>
      <c r="J738" s="15"/>
      <c r="K738" s="15"/>
      <c r="L738" s="15"/>
      <c r="M738" s="15" t="str">
        <f>CONCATENATE(A738,B738,C738,D738,E738,F738,G738)</f>
        <v>VoltDiff(SlrReflectkW(2),1,mV7_5,4,True,0,_60Hz,1,0)</v>
      </c>
      <c r="N738" s="15"/>
      <c r="O738" s="15"/>
    </row>
    <row r="739" spans="1:15" x14ac:dyDescent="0.25">
      <c r="A739" t="s">
        <v>194</v>
      </c>
      <c r="B739">
        <f>C736</f>
        <v>2</v>
      </c>
      <c r="C739" t="s">
        <v>195</v>
      </c>
      <c r="D739">
        <f>B739</f>
        <v>2</v>
      </c>
      <c r="E739" t="s">
        <v>196</v>
      </c>
      <c r="I739" s="15"/>
      <c r="J739" s="15"/>
      <c r="K739" s="15"/>
      <c r="L739" s="15"/>
      <c r="M739" s="15" t="str">
        <f>CONCATENATE(A739,B739,C739,D739,E739,F739)</f>
        <v>if SlrReflectkW(2) &lt; 0 Then SlrReflectkW(2) = 0</v>
      </c>
      <c r="N739" s="15"/>
      <c r="O739" s="15"/>
    </row>
    <row r="740" spans="1:15" x14ac:dyDescent="0.25">
      <c r="A740" t="s">
        <v>193</v>
      </c>
      <c r="B740">
        <f>C736</f>
        <v>2</v>
      </c>
      <c r="C740" s="49" t="s">
        <v>191</v>
      </c>
      <c r="D740">
        <f>B740</f>
        <v>2</v>
      </c>
      <c r="E740" s="49" t="s">
        <v>197</v>
      </c>
      <c r="F740">
        <f>ScanFrequencyInSec*0.0002</f>
        <v>0.12000000000000001</v>
      </c>
      <c r="I740" s="15"/>
      <c r="J740" s="15"/>
      <c r="K740" s="15"/>
      <c r="L740" s="15"/>
      <c r="M740" s="15" t="str">
        <f>CONCATENATE(A740,B740,C740,D740,E740,F740)</f>
        <v>SlrReflectMJ(2)=SlrReflectkW(2) * 0.12</v>
      </c>
      <c r="N740" s="15"/>
      <c r="O740" s="15"/>
    </row>
    <row r="741" spans="1:15" x14ac:dyDescent="0.25">
      <c r="A741" t="s">
        <v>192</v>
      </c>
      <c r="B741">
        <f>C736</f>
        <v>2</v>
      </c>
      <c r="C741" s="49" t="s">
        <v>191</v>
      </c>
      <c r="D741">
        <f>B741</f>
        <v>2</v>
      </c>
      <c r="E741" s="49" t="s">
        <v>197</v>
      </c>
      <c r="F741">
        <v>0.2</v>
      </c>
      <c r="I741" s="15"/>
      <c r="J741" s="15"/>
      <c r="K741" s="15"/>
      <c r="L741" s="15"/>
      <c r="M741" s="15" t="str">
        <f>CONCATENATE(A741,B741,C741,D741,E741,F741)</f>
        <v>SlrReflectkW(2)=SlrReflectkW(2) * 0.2</v>
      </c>
      <c r="N741" s="15"/>
      <c r="O741" s="15"/>
    </row>
    <row r="742" spans="1:15" ht="15.75" thickBot="1" x14ac:dyDescent="0.3">
      <c r="A742" s="1" t="s">
        <v>199</v>
      </c>
      <c r="B742" s="1" t="s">
        <v>253</v>
      </c>
      <c r="C742" s="1" t="s">
        <v>35</v>
      </c>
      <c r="D742" s="1"/>
      <c r="E742" s="1"/>
      <c r="F742" s="1"/>
      <c r="G742" s="1"/>
      <c r="I742" s="15"/>
      <c r="J742" s="15"/>
      <c r="K742" s="15"/>
      <c r="L742" s="17" t="str">
        <f>"'Switch on next AM416 Multiplexer channel.  PulsePort(DataLogger channel C#, Delay)"</f>
        <v>'Switch on next AM416 Multiplexer channel.  PulsePort(DataLogger channel C#, Delay)</v>
      </c>
      <c r="M742" s="15"/>
      <c r="N742" s="15"/>
      <c r="O742" s="15"/>
    </row>
    <row r="743" spans="1:15" ht="16.5" thickBot="1" x14ac:dyDescent="0.3">
      <c r="A743" s="5">
        <f>A736</f>
        <v>3</v>
      </c>
      <c r="B743" s="5"/>
      <c r="C743" s="6">
        <v>3</v>
      </c>
      <c r="D743" s="75" t="s">
        <v>250</v>
      </c>
      <c r="E743" s="76"/>
      <c r="F743" s="76"/>
      <c r="G743" s="77"/>
      <c r="I743" s="15"/>
      <c r="J743" s="15"/>
      <c r="K743" s="15"/>
      <c r="L743" s="15" t="str">
        <f>"PulsePort("&amp;ClockComChannel&amp;",10000)"</f>
        <v>PulsePort(1,10000)</v>
      </c>
      <c r="M743" s="15"/>
      <c r="N743" s="15"/>
      <c r="O743" s="15"/>
    </row>
    <row r="744" spans="1:15" x14ac:dyDescent="0.25">
      <c r="I744" s="15"/>
      <c r="J744" s="15"/>
      <c r="K744" s="15"/>
      <c r="L744" s="15"/>
      <c r="M744" s="17" t="str">
        <f>"'LI200X Pyranometer measurements 'SlrMJReflect' and 'SlrkWReflect' VoltDiff(Dest, Reps, Range, DiffChan, RevDiff, SettlingTime, Integ, Mult, Offset)"</f>
        <v>'LI200X Pyranometer measurements 'SlrMJReflect' and 'SlrkWReflect' VoltDiff(Dest, Reps, Range, DiffChan, RevDiff, SettlingTime, Integ, Mult, Offset)</v>
      </c>
      <c r="N744" s="15"/>
      <c r="O744" s="15"/>
    </row>
    <row r="745" spans="1:15" x14ac:dyDescent="0.25">
      <c r="A745" s="49" t="s">
        <v>190</v>
      </c>
      <c r="B745">
        <f>C743</f>
        <v>3</v>
      </c>
      <c r="C745" t="s">
        <v>181</v>
      </c>
      <c r="D745">
        <f>VLOOKUP("MUXDiffChannel",MUXChans,A743+1,FALSE)</f>
        <v>4</v>
      </c>
      <c r="E745" t="s">
        <v>101</v>
      </c>
      <c r="I745" s="15"/>
      <c r="J745" s="15"/>
      <c r="K745" s="15"/>
      <c r="L745" s="15"/>
      <c r="M745" s="15" t="str">
        <f>CONCATENATE(A745,B745,C745,D745,E745,F745,G745)</f>
        <v>VoltDiff(SlrReflectkW(3),1,mV7_5,4,True,0,_60Hz,1,0)</v>
      </c>
      <c r="N745" s="15"/>
      <c r="O745" s="15"/>
    </row>
    <row r="746" spans="1:15" x14ac:dyDescent="0.25">
      <c r="A746" t="s">
        <v>194</v>
      </c>
      <c r="B746">
        <f>C743</f>
        <v>3</v>
      </c>
      <c r="C746" t="s">
        <v>195</v>
      </c>
      <c r="D746">
        <f>B746</f>
        <v>3</v>
      </c>
      <c r="E746" t="s">
        <v>196</v>
      </c>
      <c r="I746" s="15"/>
      <c r="J746" s="15"/>
      <c r="K746" s="15"/>
      <c r="L746" s="15"/>
      <c r="M746" s="15" t="str">
        <f>CONCATENATE(A746,B746,C746,D746,E746,F746)</f>
        <v>if SlrReflectkW(3) &lt; 0 Then SlrReflectkW(3) = 0</v>
      </c>
      <c r="N746" s="15"/>
      <c r="O746" s="15"/>
    </row>
    <row r="747" spans="1:15" x14ac:dyDescent="0.25">
      <c r="A747" t="s">
        <v>193</v>
      </c>
      <c r="B747">
        <f>C743</f>
        <v>3</v>
      </c>
      <c r="C747" s="49" t="s">
        <v>191</v>
      </c>
      <c r="D747">
        <f>B747</f>
        <v>3</v>
      </c>
      <c r="E747" s="49" t="s">
        <v>197</v>
      </c>
      <c r="F747">
        <f>ScanFrequencyInSec*0.0002</f>
        <v>0.12000000000000001</v>
      </c>
      <c r="I747" s="15"/>
      <c r="J747" s="15"/>
      <c r="K747" s="15"/>
      <c r="L747" s="15"/>
      <c r="M747" s="15" t="str">
        <f>CONCATENATE(A747,B747,C747,D747,E747,F747)</f>
        <v>SlrReflectMJ(3)=SlrReflectkW(3) * 0.12</v>
      </c>
      <c r="N747" s="15"/>
      <c r="O747" s="15"/>
    </row>
    <row r="748" spans="1:15" x14ac:dyDescent="0.25">
      <c r="A748" t="s">
        <v>192</v>
      </c>
      <c r="B748">
        <f>C743</f>
        <v>3</v>
      </c>
      <c r="C748" s="49" t="s">
        <v>191</v>
      </c>
      <c r="D748">
        <f>B748</f>
        <v>3</v>
      </c>
      <c r="E748" s="49" t="s">
        <v>197</v>
      </c>
      <c r="F748">
        <v>0.2</v>
      </c>
      <c r="I748" s="15"/>
      <c r="J748" s="15"/>
      <c r="K748" s="15"/>
      <c r="L748" s="15"/>
      <c r="M748" s="15" t="str">
        <f>CONCATENATE(A748,B748,C748,D748,E748,F748)</f>
        <v>SlrReflectkW(3)=SlrReflectkW(3) * 0.2</v>
      </c>
      <c r="N748" s="15"/>
      <c r="O748" s="15"/>
    </row>
    <row r="749" spans="1:15" ht="15.75" thickBot="1" x14ac:dyDescent="0.3">
      <c r="A749" s="1" t="s">
        <v>199</v>
      </c>
      <c r="B749" s="1" t="s">
        <v>253</v>
      </c>
      <c r="C749" s="1" t="s">
        <v>35</v>
      </c>
      <c r="D749" s="1"/>
      <c r="E749" s="1"/>
      <c r="F749" s="1"/>
      <c r="G749" s="1"/>
      <c r="I749" s="15"/>
      <c r="J749" s="15"/>
      <c r="K749" s="15"/>
      <c r="L749" s="17" t="str">
        <f>"'Switch on next AM416 Multiplexer channel.  PulsePort(DataLogger channel C#, Delay)"</f>
        <v>'Switch on next AM416 Multiplexer channel.  PulsePort(DataLogger channel C#, Delay)</v>
      </c>
      <c r="M749" s="15"/>
      <c r="N749" s="15"/>
      <c r="O749" s="15"/>
    </row>
    <row r="750" spans="1:15" ht="16.5" thickBot="1" x14ac:dyDescent="0.3">
      <c r="A750" s="5">
        <f>A743</f>
        <v>3</v>
      </c>
      <c r="B750" s="5"/>
      <c r="C750" s="6">
        <v>4</v>
      </c>
      <c r="D750" s="75" t="s">
        <v>250</v>
      </c>
      <c r="E750" s="76"/>
      <c r="F750" s="76"/>
      <c r="G750" s="77"/>
      <c r="I750" s="15"/>
      <c r="J750" s="15"/>
      <c r="K750" s="15"/>
      <c r="L750" s="15" t="str">
        <f>"PulsePort("&amp;ClockComChannel&amp;",10000)"</f>
        <v>PulsePort(1,10000)</v>
      </c>
      <c r="M750" s="15"/>
      <c r="N750" s="15"/>
      <c r="O750" s="15"/>
    </row>
    <row r="751" spans="1:15" x14ac:dyDescent="0.25">
      <c r="I751" s="15"/>
      <c r="J751" s="15"/>
      <c r="K751" s="15"/>
      <c r="L751" s="15"/>
      <c r="M751" s="17" t="str">
        <f>"'LI200X Pyranometer measurements 'SlrMJReflect' and 'SlrkWReflect' VoltDiff(Dest, Reps, Range, DiffChan, RevDiff, SettlingTime, Integ, Mult, Offset)"</f>
        <v>'LI200X Pyranometer measurements 'SlrMJReflect' and 'SlrkWReflect' VoltDiff(Dest, Reps, Range, DiffChan, RevDiff, SettlingTime, Integ, Mult, Offset)</v>
      </c>
      <c r="N751" s="15"/>
      <c r="O751" s="15"/>
    </row>
    <row r="752" spans="1:15" x14ac:dyDescent="0.25">
      <c r="A752" s="49" t="s">
        <v>190</v>
      </c>
      <c r="B752">
        <f>C750</f>
        <v>4</v>
      </c>
      <c r="C752" t="s">
        <v>181</v>
      </c>
      <c r="D752">
        <f>VLOOKUP("MUXDiffChannel",MUXChans,A750+1,FALSE)</f>
        <v>4</v>
      </c>
      <c r="E752" t="s">
        <v>101</v>
      </c>
      <c r="I752" s="15"/>
      <c r="J752" s="15"/>
      <c r="K752" s="15"/>
      <c r="L752" s="15"/>
      <c r="M752" s="15" t="str">
        <f>CONCATENATE(A752,B752,C752,D752,E752,F752,G752)</f>
        <v>VoltDiff(SlrReflectkW(4),1,mV7_5,4,True,0,_60Hz,1,0)</v>
      </c>
      <c r="N752" s="15"/>
      <c r="O752" s="15"/>
    </row>
    <row r="753" spans="1:15" x14ac:dyDescent="0.25">
      <c r="A753" t="s">
        <v>194</v>
      </c>
      <c r="B753">
        <f>C750</f>
        <v>4</v>
      </c>
      <c r="C753" t="s">
        <v>195</v>
      </c>
      <c r="D753">
        <f>B753</f>
        <v>4</v>
      </c>
      <c r="E753" t="s">
        <v>196</v>
      </c>
      <c r="I753" s="15"/>
      <c r="J753" s="15"/>
      <c r="K753" s="15"/>
      <c r="L753" s="15"/>
      <c r="M753" s="15" t="str">
        <f>CONCATENATE(A753,B753,C753,D753,E753,F753)</f>
        <v>if SlrReflectkW(4) &lt; 0 Then SlrReflectkW(4) = 0</v>
      </c>
      <c r="N753" s="15"/>
      <c r="O753" s="15"/>
    </row>
    <row r="754" spans="1:15" x14ac:dyDescent="0.25">
      <c r="A754" t="s">
        <v>193</v>
      </c>
      <c r="B754">
        <f>C750</f>
        <v>4</v>
      </c>
      <c r="C754" s="49" t="s">
        <v>191</v>
      </c>
      <c r="D754">
        <f>B754</f>
        <v>4</v>
      </c>
      <c r="E754" s="49" t="s">
        <v>197</v>
      </c>
      <c r="F754">
        <f>ScanFrequencyInSec*0.0002</f>
        <v>0.12000000000000001</v>
      </c>
      <c r="I754" s="15"/>
      <c r="J754" s="15"/>
      <c r="K754" s="15"/>
      <c r="L754" s="15"/>
      <c r="M754" s="15" t="str">
        <f>CONCATENATE(A754,B754,C754,D754,E754,F754)</f>
        <v>SlrReflectMJ(4)=SlrReflectkW(4) * 0.12</v>
      </c>
      <c r="N754" s="15"/>
      <c r="O754" s="15"/>
    </row>
    <row r="755" spans="1:15" x14ac:dyDescent="0.25">
      <c r="A755" t="s">
        <v>192</v>
      </c>
      <c r="B755">
        <f>C750</f>
        <v>4</v>
      </c>
      <c r="C755" s="49" t="s">
        <v>191</v>
      </c>
      <c r="D755">
        <f>B755</f>
        <v>4</v>
      </c>
      <c r="E755" s="49" t="s">
        <v>197</v>
      </c>
      <c r="F755">
        <v>0.2</v>
      </c>
      <c r="I755" s="15"/>
      <c r="J755" s="15"/>
      <c r="K755" s="15"/>
      <c r="L755" s="15"/>
      <c r="M755" s="15" t="str">
        <f>CONCATENATE(A755,B755,C755,D755,E755,F755)</f>
        <v>SlrReflectkW(4)=SlrReflectkW(4) * 0.2</v>
      </c>
      <c r="N755" s="15"/>
      <c r="O755" s="15"/>
    </row>
    <row r="756" spans="1:15" ht="15.75" thickBot="1" x14ac:dyDescent="0.3">
      <c r="A756" s="1" t="s">
        <v>199</v>
      </c>
      <c r="B756" s="1" t="s">
        <v>253</v>
      </c>
      <c r="C756" s="1" t="s">
        <v>35</v>
      </c>
      <c r="D756" s="1"/>
      <c r="E756" s="1"/>
      <c r="F756" s="1"/>
      <c r="G756" s="1"/>
      <c r="I756" s="15"/>
      <c r="J756" s="15"/>
      <c r="K756" s="15"/>
      <c r="L756" s="17" t="str">
        <f>"'Switch on next AM416 Multiplexer channel.  PulsePort(DataLogger channel C#, Delay)"</f>
        <v>'Switch on next AM416 Multiplexer channel.  PulsePort(DataLogger channel C#, Delay)</v>
      </c>
      <c r="M756" s="15"/>
      <c r="N756" s="15"/>
      <c r="O756" s="15"/>
    </row>
    <row r="757" spans="1:15" ht="16.5" thickBot="1" x14ac:dyDescent="0.3">
      <c r="A757" s="5">
        <f>A750</f>
        <v>3</v>
      </c>
      <c r="B757" s="5"/>
      <c r="C757" s="6">
        <v>5</v>
      </c>
      <c r="D757" s="75" t="s">
        <v>250</v>
      </c>
      <c r="E757" s="76"/>
      <c r="F757" s="76"/>
      <c r="G757" s="77"/>
      <c r="I757" s="15"/>
      <c r="J757" s="15"/>
      <c r="K757" s="15"/>
      <c r="L757" s="15" t="str">
        <f>"PulsePort("&amp;ClockComChannel&amp;",10000)"</f>
        <v>PulsePort(1,10000)</v>
      </c>
      <c r="M757" s="15"/>
      <c r="N757" s="15"/>
      <c r="O757" s="15"/>
    </row>
    <row r="758" spans="1:15" x14ac:dyDescent="0.25">
      <c r="I758" s="15"/>
      <c r="J758" s="15"/>
      <c r="K758" s="15"/>
      <c r="L758" s="15"/>
      <c r="M758" s="17" t="str">
        <f>"'LI200X Pyranometer measurements 'SlrMJReflect' and 'SlrkWReflect' VoltDiff(Dest, Reps, Range, DiffChan, RevDiff, SettlingTime, Integ, Mult, Offset)"</f>
        <v>'LI200X Pyranometer measurements 'SlrMJReflect' and 'SlrkWReflect' VoltDiff(Dest, Reps, Range, DiffChan, RevDiff, SettlingTime, Integ, Mult, Offset)</v>
      </c>
      <c r="N758" s="15"/>
      <c r="O758" s="15"/>
    </row>
    <row r="759" spans="1:15" x14ac:dyDescent="0.25">
      <c r="A759" s="49" t="s">
        <v>190</v>
      </c>
      <c r="B759">
        <f>C757</f>
        <v>5</v>
      </c>
      <c r="C759" t="s">
        <v>181</v>
      </c>
      <c r="D759">
        <f>VLOOKUP("MUXDiffChannel",MUXChans,A757+1,FALSE)</f>
        <v>4</v>
      </c>
      <c r="E759" t="s">
        <v>101</v>
      </c>
      <c r="I759" s="15"/>
      <c r="J759" s="15"/>
      <c r="K759" s="15"/>
      <c r="L759" s="15"/>
      <c r="M759" s="15" t="str">
        <f>CONCATENATE(A759,B759,C759,D759,E759,F759,G759)</f>
        <v>VoltDiff(SlrReflectkW(5),1,mV7_5,4,True,0,_60Hz,1,0)</v>
      </c>
      <c r="N759" s="15"/>
      <c r="O759" s="15"/>
    </row>
    <row r="760" spans="1:15" x14ac:dyDescent="0.25">
      <c r="A760" t="s">
        <v>194</v>
      </c>
      <c r="B760">
        <f>C757</f>
        <v>5</v>
      </c>
      <c r="C760" t="s">
        <v>195</v>
      </c>
      <c r="D760">
        <f>B760</f>
        <v>5</v>
      </c>
      <c r="E760" t="s">
        <v>196</v>
      </c>
      <c r="I760" s="15"/>
      <c r="J760" s="15"/>
      <c r="K760" s="15"/>
      <c r="L760" s="15"/>
      <c r="M760" s="15" t="str">
        <f>CONCATENATE(A760,B760,C760,D760,E760,F760)</f>
        <v>if SlrReflectkW(5) &lt; 0 Then SlrReflectkW(5) = 0</v>
      </c>
      <c r="N760" s="15"/>
      <c r="O760" s="15"/>
    </row>
    <row r="761" spans="1:15" x14ac:dyDescent="0.25">
      <c r="A761" t="s">
        <v>193</v>
      </c>
      <c r="B761">
        <f>C757</f>
        <v>5</v>
      </c>
      <c r="C761" s="49" t="s">
        <v>191</v>
      </c>
      <c r="D761">
        <f>B761</f>
        <v>5</v>
      </c>
      <c r="E761" s="49" t="s">
        <v>197</v>
      </c>
      <c r="F761">
        <f>ScanFrequencyInSec*0.0002</f>
        <v>0.12000000000000001</v>
      </c>
      <c r="I761" s="15"/>
      <c r="J761" s="15"/>
      <c r="K761" s="15"/>
      <c r="L761" s="15"/>
      <c r="M761" s="15" t="str">
        <f>CONCATENATE(A761,B761,C761,D761,E761,F761)</f>
        <v>SlrReflectMJ(5)=SlrReflectkW(5) * 0.12</v>
      </c>
      <c r="N761" s="15"/>
      <c r="O761" s="15"/>
    </row>
    <row r="762" spans="1:15" x14ac:dyDescent="0.25">
      <c r="A762" t="s">
        <v>192</v>
      </c>
      <c r="B762">
        <f>C757</f>
        <v>5</v>
      </c>
      <c r="C762" s="49" t="s">
        <v>191</v>
      </c>
      <c r="D762">
        <f>B762</f>
        <v>5</v>
      </c>
      <c r="E762" s="49" t="s">
        <v>197</v>
      </c>
      <c r="F762">
        <v>0.2</v>
      </c>
      <c r="I762" s="15"/>
      <c r="J762" s="15"/>
      <c r="K762" s="15"/>
      <c r="L762" s="15"/>
      <c r="M762" s="15" t="str">
        <f>CONCATENATE(A762,B762,C762,D762,E762,F762)</f>
        <v>SlrReflectkW(5)=SlrReflectkW(5) * 0.2</v>
      </c>
      <c r="N762" s="15"/>
      <c r="O762" s="15"/>
    </row>
    <row r="763" spans="1:15" ht="15.75" thickBot="1" x14ac:dyDescent="0.3">
      <c r="A763" s="1" t="s">
        <v>199</v>
      </c>
      <c r="B763" s="1" t="s">
        <v>253</v>
      </c>
      <c r="C763" s="1" t="s">
        <v>35</v>
      </c>
      <c r="D763" s="1"/>
      <c r="E763" s="1"/>
      <c r="F763" s="1"/>
      <c r="G763" s="1"/>
      <c r="I763" s="15"/>
      <c r="J763" s="15"/>
      <c r="K763" s="15"/>
      <c r="L763" s="17" t="str">
        <f>"'Switch on next AM416 Multiplexer channel.  PulsePort(DataLogger channel C#, Delay)"</f>
        <v>'Switch on next AM416 Multiplexer channel.  PulsePort(DataLogger channel C#, Delay)</v>
      </c>
      <c r="M763" s="15"/>
      <c r="N763" s="15"/>
      <c r="O763" s="15"/>
    </row>
    <row r="764" spans="1:15" ht="16.5" thickBot="1" x14ac:dyDescent="0.3">
      <c r="A764" s="5">
        <f>A757</f>
        <v>3</v>
      </c>
      <c r="B764" s="5"/>
      <c r="C764" s="6">
        <v>6</v>
      </c>
      <c r="D764" s="75" t="s">
        <v>250</v>
      </c>
      <c r="E764" s="76"/>
      <c r="F764" s="76"/>
      <c r="G764" s="77"/>
      <c r="I764" s="15"/>
      <c r="J764" s="15"/>
      <c r="K764" s="15"/>
      <c r="L764" s="15" t="str">
        <f>"PulsePort("&amp;ClockComChannel&amp;",10000)"</f>
        <v>PulsePort(1,10000)</v>
      </c>
      <c r="M764" s="15"/>
      <c r="N764" s="15"/>
      <c r="O764" s="15"/>
    </row>
    <row r="765" spans="1:15" x14ac:dyDescent="0.25">
      <c r="I765" s="15"/>
      <c r="J765" s="15"/>
      <c r="K765" s="15"/>
      <c r="L765" s="15"/>
      <c r="M765" s="17" t="str">
        <f>"'LI200X Pyranometer measurements 'SlrMJReflect' and 'SlrkWReflect' VoltDiff(Dest, Reps, Range, DiffChan, RevDiff, SettlingTime, Integ, Mult, Offset)"</f>
        <v>'LI200X Pyranometer measurements 'SlrMJReflect' and 'SlrkWReflect' VoltDiff(Dest, Reps, Range, DiffChan, RevDiff, SettlingTime, Integ, Mult, Offset)</v>
      </c>
      <c r="N765" s="15"/>
      <c r="O765" s="15"/>
    </row>
    <row r="766" spans="1:15" x14ac:dyDescent="0.25">
      <c r="A766" s="49" t="s">
        <v>190</v>
      </c>
      <c r="B766">
        <f>C764</f>
        <v>6</v>
      </c>
      <c r="C766" t="s">
        <v>181</v>
      </c>
      <c r="D766">
        <f>VLOOKUP("MUXDiffChannel",MUXChans,A764+1,FALSE)</f>
        <v>4</v>
      </c>
      <c r="E766" t="s">
        <v>101</v>
      </c>
      <c r="I766" s="15"/>
      <c r="J766" s="15"/>
      <c r="K766" s="15"/>
      <c r="L766" s="15"/>
      <c r="M766" s="15" t="str">
        <f>CONCATENATE(A766,B766,C766,D766,E766,F766,G766)</f>
        <v>VoltDiff(SlrReflectkW(6),1,mV7_5,4,True,0,_60Hz,1,0)</v>
      </c>
      <c r="N766" s="15"/>
      <c r="O766" s="15"/>
    </row>
    <row r="767" spans="1:15" x14ac:dyDescent="0.25">
      <c r="A767" t="s">
        <v>194</v>
      </c>
      <c r="B767">
        <f>C764</f>
        <v>6</v>
      </c>
      <c r="C767" t="s">
        <v>195</v>
      </c>
      <c r="D767">
        <f>B767</f>
        <v>6</v>
      </c>
      <c r="E767" t="s">
        <v>196</v>
      </c>
      <c r="I767" s="15"/>
      <c r="J767" s="15"/>
      <c r="K767" s="15"/>
      <c r="L767" s="15"/>
      <c r="M767" s="15" t="str">
        <f>CONCATENATE(A767,B767,C767,D767,E767,F767)</f>
        <v>if SlrReflectkW(6) &lt; 0 Then SlrReflectkW(6) = 0</v>
      </c>
      <c r="N767" s="15"/>
      <c r="O767" s="15"/>
    </row>
    <row r="768" spans="1:15" x14ac:dyDescent="0.25">
      <c r="A768" t="s">
        <v>193</v>
      </c>
      <c r="B768">
        <f>C764</f>
        <v>6</v>
      </c>
      <c r="C768" s="49" t="s">
        <v>191</v>
      </c>
      <c r="D768">
        <f>B768</f>
        <v>6</v>
      </c>
      <c r="E768" s="49" t="s">
        <v>197</v>
      </c>
      <c r="F768">
        <f>ScanFrequencyInSec*0.0002</f>
        <v>0.12000000000000001</v>
      </c>
      <c r="I768" s="15"/>
      <c r="J768" s="15"/>
      <c r="K768" s="15"/>
      <c r="L768" s="15"/>
      <c r="M768" s="15" t="str">
        <f>CONCATENATE(A768,B768,C768,D768,E768,F768)</f>
        <v>SlrReflectMJ(6)=SlrReflectkW(6) * 0.12</v>
      </c>
      <c r="N768" s="15"/>
      <c r="O768" s="15"/>
    </row>
    <row r="769" spans="1:15" x14ac:dyDescent="0.25">
      <c r="A769" t="s">
        <v>192</v>
      </c>
      <c r="B769">
        <f>C764</f>
        <v>6</v>
      </c>
      <c r="C769" s="49" t="s">
        <v>191</v>
      </c>
      <c r="D769">
        <f>B769</f>
        <v>6</v>
      </c>
      <c r="E769" s="49" t="s">
        <v>197</v>
      </c>
      <c r="F769">
        <v>0.2</v>
      </c>
      <c r="I769" s="15"/>
      <c r="J769" s="15"/>
      <c r="K769" s="15"/>
      <c r="L769" s="15"/>
      <c r="M769" s="15" t="str">
        <f>CONCATENATE(A769,B769,C769,D769,E769,F769)</f>
        <v>SlrReflectkW(6)=SlrReflectkW(6) * 0.2</v>
      </c>
      <c r="N769" s="15"/>
      <c r="O769" s="15"/>
    </row>
    <row r="770" spans="1:15" ht="15.75" thickBot="1" x14ac:dyDescent="0.3">
      <c r="A770" s="1" t="s">
        <v>199</v>
      </c>
      <c r="B770" s="1" t="s">
        <v>253</v>
      </c>
      <c r="C770" s="1" t="s">
        <v>35</v>
      </c>
      <c r="D770" s="1"/>
      <c r="E770" s="1"/>
      <c r="F770" s="1"/>
      <c r="G770" s="1"/>
      <c r="I770" s="15"/>
      <c r="J770" s="15"/>
      <c r="K770" s="15"/>
      <c r="L770" s="17" t="str">
        <f>"'Switch on next AM416 Multiplexer channel.  PulsePort(DataLogger channel C#, Delay)"</f>
        <v>'Switch on next AM416 Multiplexer channel.  PulsePort(DataLogger channel C#, Delay)</v>
      </c>
      <c r="M770" s="15"/>
      <c r="N770" s="15"/>
      <c r="O770" s="15"/>
    </row>
    <row r="771" spans="1:15" ht="16.5" thickBot="1" x14ac:dyDescent="0.3">
      <c r="A771" s="5">
        <f>A764</f>
        <v>3</v>
      </c>
      <c r="B771" s="5"/>
      <c r="C771" s="6">
        <v>7</v>
      </c>
      <c r="D771" s="75" t="s">
        <v>250</v>
      </c>
      <c r="E771" s="76"/>
      <c r="F771" s="76"/>
      <c r="G771" s="77"/>
      <c r="I771" s="15"/>
      <c r="J771" s="15"/>
      <c r="K771" s="15"/>
      <c r="L771" s="15" t="str">
        <f>"PulsePort("&amp;ClockComChannel&amp;",10000)"</f>
        <v>PulsePort(1,10000)</v>
      </c>
      <c r="M771" s="15"/>
      <c r="N771" s="15"/>
      <c r="O771" s="15"/>
    </row>
    <row r="772" spans="1:15" x14ac:dyDescent="0.25">
      <c r="I772" s="15"/>
      <c r="J772" s="15"/>
      <c r="K772" s="15"/>
      <c r="L772" s="15"/>
      <c r="M772" s="17" t="str">
        <f>"'LI200X Pyranometer measurements 'SlrMJReflect' and 'SlrkWReflect' VoltDiff(Dest, Reps, Range, DiffChan, RevDiff, SettlingTime, Integ, Mult, Offset)"</f>
        <v>'LI200X Pyranometer measurements 'SlrMJReflect' and 'SlrkWReflect' VoltDiff(Dest, Reps, Range, DiffChan, RevDiff, SettlingTime, Integ, Mult, Offset)</v>
      </c>
      <c r="N772" s="15"/>
      <c r="O772" s="15"/>
    </row>
    <row r="773" spans="1:15" x14ac:dyDescent="0.25">
      <c r="A773" s="49" t="s">
        <v>190</v>
      </c>
      <c r="B773">
        <f>C771</f>
        <v>7</v>
      </c>
      <c r="C773" t="s">
        <v>181</v>
      </c>
      <c r="D773">
        <f>VLOOKUP("MUXDiffChannel",MUXChans,A771+1,FALSE)</f>
        <v>4</v>
      </c>
      <c r="E773" t="s">
        <v>101</v>
      </c>
      <c r="I773" s="15"/>
      <c r="J773" s="15"/>
      <c r="K773" s="15"/>
      <c r="L773" s="15"/>
      <c r="M773" s="15" t="str">
        <f>CONCATENATE(A773,B773,C773,D773,E773,F773,G773)</f>
        <v>VoltDiff(SlrReflectkW(7),1,mV7_5,4,True,0,_60Hz,1,0)</v>
      </c>
      <c r="N773" s="15"/>
      <c r="O773" s="15"/>
    </row>
    <row r="774" spans="1:15" x14ac:dyDescent="0.25">
      <c r="A774" t="s">
        <v>194</v>
      </c>
      <c r="B774">
        <f>C771</f>
        <v>7</v>
      </c>
      <c r="C774" t="s">
        <v>195</v>
      </c>
      <c r="D774">
        <f>B774</f>
        <v>7</v>
      </c>
      <c r="E774" t="s">
        <v>196</v>
      </c>
      <c r="I774" s="15"/>
      <c r="J774" s="15"/>
      <c r="K774" s="15"/>
      <c r="L774" s="15"/>
      <c r="M774" s="15" t="str">
        <f>CONCATENATE(A774,B774,C774,D774,E774,F774)</f>
        <v>if SlrReflectkW(7) &lt; 0 Then SlrReflectkW(7) = 0</v>
      </c>
      <c r="N774" s="15"/>
      <c r="O774" s="15"/>
    </row>
    <row r="775" spans="1:15" x14ac:dyDescent="0.25">
      <c r="A775" t="s">
        <v>193</v>
      </c>
      <c r="B775">
        <f>C771</f>
        <v>7</v>
      </c>
      <c r="C775" s="49" t="s">
        <v>191</v>
      </c>
      <c r="D775">
        <f>B775</f>
        <v>7</v>
      </c>
      <c r="E775" s="49" t="s">
        <v>197</v>
      </c>
      <c r="F775">
        <f>ScanFrequencyInSec*0.0002</f>
        <v>0.12000000000000001</v>
      </c>
      <c r="I775" s="15"/>
      <c r="J775" s="15"/>
      <c r="K775" s="15"/>
      <c r="L775" s="15"/>
      <c r="M775" s="15" t="str">
        <f>CONCATENATE(A775,B775,C775,D775,E775,F775)</f>
        <v>SlrReflectMJ(7)=SlrReflectkW(7) * 0.12</v>
      </c>
      <c r="N775" s="15"/>
      <c r="O775" s="15"/>
    </row>
    <row r="776" spans="1:15" x14ac:dyDescent="0.25">
      <c r="A776" t="s">
        <v>192</v>
      </c>
      <c r="B776">
        <f>C771</f>
        <v>7</v>
      </c>
      <c r="C776" s="49" t="s">
        <v>191</v>
      </c>
      <c r="D776">
        <f>B776</f>
        <v>7</v>
      </c>
      <c r="E776" s="49" t="s">
        <v>197</v>
      </c>
      <c r="F776">
        <v>0.2</v>
      </c>
      <c r="I776" s="15"/>
      <c r="J776" s="15"/>
      <c r="K776" s="15"/>
      <c r="L776" s="15"/>
      <c r="M776" s="15" t="str">
        <f>CONCATENATE(A776,B776,C776,D776,E776,F776)</f>
        <v>SlrReflectkW(7)=SlrReflectkW(7) * 0.2</v>
      </c>
      <c r="N776" s="15"/>
      <c r="O776" s="15"/>
    </row>
    <row r="777" spans="1:15" ht="15.75" thickBot="1" x14ac:dyDescent="0.3">
      <c r="A777" s="1" t="s">
        <v>199</v>
      </c>
      <c r="B777" s="1" t="s">
        <v>253</v>
      </c>
      <c r="C777" s="1" t="s">
        <v>35</v>
      </c>
      <c r="D777" s="1"/>
      <c r="E777" s="1"/>
      <c r="F777" s="1"/>
      <c r="G777" s="1"/>
      <c r="I777" s="15"/>
      <c r="J777" s="15"/>
      <c r="K777" s="15"/>
      <c r="L777" s="17" t="str">
        <f>"'Switch on next AM416 Multiplexer channel.  PulsePort(DataLogger channel C#, Delay)"</f>
        <v>'Switch on next AM416 Multiplexer channel.  PulsePort(DataLogger channel C#, Delay)</v>
      </c>
      <c r="M777" s="15"/>
      <c r="N777" s="15"/>
      <c r="O777" s="15"/>
    </row>
    <row r="778" spans="1:15" ht="16.5" thickBot="1" x14ac:dyDescent="0.3">
      <c r="A778" s="5">
        <f>A771</f>
        <v>3</v>
      </c>
      <c r="B778" s="5"/>
      <c r="C778" s="6">
        <v>8</v>
      </c>
      <c r="D778" s="75" t="s">
        <v>250</v>
      </c>
      <c r="E778" s="76"/>
      <c r="F778" s="76"/>
      <c r="G778" s="77"/>
      <c r="I778" s="15"/>
      <c r="J778" s="15"/>
      <c r="K778" s="15"/>
      <c r="L778" s="15" t="str">
        <f>"PulsePort("&amp;ClockComChannel&amp;",10000)"</f>
        <v>PulsePort(1,10000)</v>
      </c>
      <c r="M778" s="15"/>
      <c r="N778" s="15"/>
      <c r="O778" s="15"/>
    </row>
    <row r="779" spans="1:15" x14ac:dyDescent="0.25">
      <c r="I779" s="15"/>
      <c r="J779" s="15"/>
      <c r="K779" s="15"/>
      <c r="L779" s="15"/>
      <c r="M779" s="17" t="str">
        <f>"'LI200X Pyranometer measurements 'SlrMJReflect' and 'SlrkWReflect' VoltDiff(Dest, Reps, Range, DiffChan, RevDiff, SettlingTime, Integ, Mult, Offset)"</f>
        <v>'LI200X Pyranometer measurements 'SlrMJReflect' and 'SlrkWReflect' VoltDiff(Dest, Reps, Range, DiffChan, RevDiff, SettlingTime, Integ, Mult, Offset)</v>
      </c>
      <c r="N779" s="15"/>
      <c r="O779" s="15"/>
    </row>
    <row r="780" spans="1:15" x14ac:dyDescent="0.25">
      <c r="A780" s="49" t="s">
        <v>190</v>
      </c>
      <c r="B780">
        <f>C778</f>
        <v>8</v>
      </c>
      <c r="C780" t="s">
        <v>181</v>
      </c>
      <c r="D780">
        <f>VLOOKUP("MUXDiffChannel",MUXChans,A778+1,FALSE)</f>
        <v>4</v>
      </c>
      <c r="E780" t="s">
        <v>101</v>
      </c>
      <c r="I780" s="15"/>
      <c r="J780" s="15"/>
      <c r="K780" s="15"/>
      <c r="L780" s="15"/>
      <c r="M780" s="15" t="str">
        <f>CONCATENATE(A780,B780,C780,D780,E780,F780,G780)</f>
        <v>VoltDiff(SlrReflectkW(8),1,mV7_5,4,True,0,_60Hz,1,0)</v>
      </c>
      <c r="N780" s="15"/>
      <c r="O780" s="15"/>
    </row>
    <row r="781" spans="1:15" x14ac:dyDescent="0.25">
      <c r="A781" t="s">
        <v>194</v>
      </c>
      <c r="B781">
        <f>C778</f>
        <v>8</v>
      </c>
      <c r="C781" t="s">
        <v>195</v>
      </c>
      <c r="D781">
        <f>B781</f>
        <v>8</v>
      </c>
      <c r="E781" t="s">
        <v>196</v>
      </c>
      <c r="I781" s="15"/>
      <c r="J781" s="15"/>
      <c r="K781" s="15"/>
      <c r="L781" s="15"/>
      <c r="M781" s="15" t="str">
        <f>CONCATENATE(A781,B781,C781,D781,E781,F781)</f>
        <v>if SlrReflectkW(8) &lt; 0 Then SlrReflectkW(8) = 0</v>
      </c>
      <c r="N781" s="15"/>
      <c r="O781" s="15"/>
    </row>
    <row r="782" spans="1:15" x14ac:dyDescent="0.25">
      <c r="A782" t="s">
        <v>193</v>
      </c>
      <c r="B782">
        <f>C778</f>
        <v>8</v>
      </c>
      <c r="C782" s="49" t="s">
        <v>191</v>
      </c>
      <c r="D782">
        <f>B782</f>
        <v>8</v>
      </c>
      <c r="E782" s="49" t="s">
        <v>197</v>
      </c>
      <c r="F782">
        <f>ScanFrequencyInSec*0.0002</f>
        <v>0.12000000000000001</v>
      </c>
      <c r="I782" s="15"/>
      <c r="J782" s="15"/>
      <c r="K782" s="15"/>
      <c r="L782" s="15"/>
      <c r="M782" s="15" t="str">
        <f>CONCATENATE(A782,B782,C782,D782,E782,F782)</f>
        <v>SlrReflectMJ(8)=SlrReflectkW(8) * 0.12</v>
      </c>
      <c r="N782" s="15"/>
      <c r="O782" s="15"/>
    </row>
    <row r="783" spans="1:15" x14ac:dyDescent="0.25">
      <c r="A783" t="s">
        <v>192</v>
      </c>
      <c r="B783">
        <f>C778</f>
        <v>8</v>
      </c>
      <c r="C783" s="49" t="s">
        <v>191</v>
      </c>
      <c r="D783">
        <f>B783</f>
        <v>8</v>
      </c>
      <c r="E783" s="49" t="s">
        <v>197</v>
      </c>
      <c r="F783">
        <v>0.2</v>
      </c>
      <c r="I783" s="15"/>
      <c r="J783" s="15"/>
      <c r="K783" s="15"/>
      <c r="L783" s="15"/>
      <c r="M783" s="15" t="str">
        <f>CONCATENATE(A783,B783,C783,D783,E783,F783)</f>
        <v>SlrReflectkW(8)=SlrReflectkW(8) * 0.2</v>
      </c>
      <c r="N783" s="15"/>
      <c r="O783" s="15"/>
    </row>
    <row r="784" spans="1:15" ht="15.75" thickBot="1" x14ac:dyDescent="0.3">
      <c r="A784" s="1" t="s">
        <v>199</v>
      </c>
      <c r="B784" s="1" t="s">
        <v>253</v>
      </c>
      <c r="C784" s="1" t="s">
        <v>35</v>
      </c>
      <c r="D784" s="1"/>
      <c r="E784" s="1"/>
      <c r="F784" s="1"/>
      <c r="G784" s="1"/>
      <c r="I784" s="15"/>
      <c r="J784" s="15"/>
      <c r="K784" s="15"/>
      <c r="L784" s="17" t="str">
        <f>"'Switch on next AM416 Multiplexer channel.  PulsePort(DataLogger channel C#, Delay)"</f>
        <v>'Switch on next AM416 Multiplexer channel.  PulsePort(DataLogger channel C#, Delay)</v>
      </c>
      <c r="M784" s="15"/>
      <c r="N784" s="15"/>
      <c r="O784" s="15"/>
    </row>
    <row r="785" spans="1:15" ht="16.5" thickBot="1" x14ac:dyDescent="0.3">
      <c r="A785" s="5">
        <f>A778</f>
        <v>3</v>
      </c>
      <c r="B785" s="5"/>
      <c r="C785" s="6">
        <v>9</v>
      </c>
      <c r="D785" s="75" t="s">
        <v>250</v>
      </c>
      <c r="E785" s="76"/>
      <c r="F785" s="76"/>
      <c r="G785" s="77"/>
      <c r="I785" s="15"/>
      <c r="J785" s="15"/>
      <c r="K785" s="15"/>
      <c r="L785" s="15" t="str">
        <f>"PulsePort("&amp;ClockComChannel&amp;",10000)"</f>
        <v>PulsePort(1,10000)</v>
      </c>
      <c r="M785" s="15"/>
      <c r="N785" s="15"/>
      <c r="O785" s="15"/>
    </row>
    <row r="786" spans="1:15" x14ac:dyDescent="0.25">
      <c r="I786" s="15"/>
      <c r="J786" s="15"/>
      <c r="K786" s="15"/>
      <c r="L786" s="15"/>
      <c r="M786" s="17" t="str">
        <f>"'LI200X Pyranometer measurements 'SlrMJReflect' and 'SlrkWReflect' VoltDiff(Dest, Reps, Range, DiffChan, RevDiff, SettlingTime, Integ, Mult, Offset)"</f>
        <v>'LI200X Pyranometer measurements 'SlrMJReflect' and 'SlrkWReflect' VoltDiff(Dest, Reps, Range, DiffChan, RevDiff, SettlingTime, Integ, Mult, Offset)</v>
      </c>
      <c r="N786" s="15"/>
      <c r="O786" s="15"/>
    </row>
    <row r="787" spans="1:15" x14ac:dyDescent="0.25">
      <c r="A787" s="49" t="s">
        <v>190</v>
      </c>
      <c r="B787">
        <f>C785</f>
        <v>9</v>
      </c>
      <c r="C787" t="s">
        <v>181</v>
      </c>
      <c r="D787">
        <f>VLOOKUP("MUXDiffChannel",MUXChans,A785+1,FALSE)</f>
        <v>4</v>
      </c>
      <c r="E787" t="s">
        <v>101</v>
      </c>
      <c r="I787" s="15"/>
      <c r="J787" s="15"/>
      <c r="K787" s="15"/>
      <c r="L787" s="15"/>
      <c r="M787" s="15" t="str">
        <f>CONCATENATE(A787,B787,C787,D787,E787,F787,G787)</f>
        <v>VoltDiff(SlrReflectkW(9),1,mV7_5,4,True,0,_60Hz,1,0)</v>
      </c>
      <c r="N787" s="15"/>
      <c r="O787" s="15"/>
    </row>
    <row r="788" spans="1:15" x14ac:dyDescent="0.25">
      <c r="A788" t="s">
        <v>194</v>
      </c>
      <c r="B788">
        <f>C785</f>
        <v>9</v>
      </c>
      <c r="C788" t="s">
        <v>195</v>
      </c>
      <c r="D788">
        <f>B788</f>
        <v>9</v>
      </c>
      <c r="E788" t="s">
        <v>196</v>
      </c>
      <c r="I788" s="15"/>
      <c r="J788" s="15"/>
      <c r="K788" s="15"/>
      <c r="L788" s="15"/>
      <c r="M788" s="15" t="str">
        <f>CONCATENATE(A788,B788,C788,D788,E788,F788)</f>
        <v>if SlrReflectkW(9) &lt; 0 Then SlrReflectkW(9) = 0</v>
      </c>
      <c r="N788" s="15"/>
      <c r="O788" s="15"/>
    </row>
    <row r="789" spans="1:15" x14ac:dyDescent="0.25">
      <c r="A789" t="s">
        <v>193</v>
      </c>
      <c r="B789">
        <f>C785</f>
        <v>9</v>
      </c>
      <c r="C789" s="49" t="s">
        <v>191</v>
      </c>
      <c r="D789">
        <f>B789</f>
        <v>9</v>
      </c>
      <c r="E789" s="49" t="s">
        <v>197</v>
      </c>
      <c r="F789">
        <f>ScanFrequencyInSec*0.0002</f>
        <v>0.12000000000000001</v>
      </c>
      <c r="I789" s="15"/>
      <c r="J789" s="15"/>
      <c r="K789" s="15"/>
      <c r="L789" s="15"/>
      <c r="M789" s="15" t="str">
        <f>CONCATENATE(A789,B789,C789,D789,E789,F789)</f>
        <v>SlrReflectMJ(9)=SlrReflectkW(9) * 0.12</v>
      </c>
      <c r="N789" s="15"/>
      <c r="O789" s="15"/>
    </row>
    <row r="790" spans="1:15" x14ac:dyDescent="0.25">
      <c r="A790" t="s">
        <v>192</v>
      </c>
      <c r="B790">
        <f>C785</f>
        <v>9</v>
      </c>
      <c r="C790" s="49" t="s">
        <v>191</v>
      </c>
      <c r="D790">
        <f>B790</f>
        <v>9</v>
      </c>
      <c r="E790" s="49" t="s">
        <v>197</v>
      </c>
      <c r="F790">
        <v>0.2</v>
      </c>
      <c r="I790" s="15"/>
      <c r="J790" s="15"/>
      <c r="K790" s="15"/>
      <c r="L790" s="15"/>
      <c r="M790" s="15" t="str">
        <f>CONCATENATE(A790,B790,C790,D790,E790,F790)</f>
        <v>SlrReflectkW(9)=SlrReflectkW(9) * 0.2</v>
      </c>
      <c r="N790" s="15"/>
      <c r="O790" s="15"/>
    </row>
    <row r="791" spans="1:15" ht="15.75" thickBot="1" x14ac:dyDescent="0.3">
      <c r="A791" s="1" t="s">
        <v>199</v>
      </c>
      <c r="B791" s="1" t="s">
        <v>253</v>
      </c>
      <c r="C791" s="1" t="s">
        <v>35</v>
      </c>
      <c r="D791" s="1"/>
      <c r="E791" s="1"/>
      <c r="F791" s="1"/>
      <c r="G791" s="1"/>
      <c r="I791" s="15"/>
      <c r="J791" s="15"/>
      <c r="K791" s="15"/>
      <c r="L791" s="17" t="str">
        <f>"'Switch on next AM416 Multiplexer channel.  PulsePort(DataLogger channel C#, Delay)"</f>
        <v>'Switch on next AM416 Multiplexer channel.  PulsePort(DataLogger channel C#, Delay)</v>
      </c>
      <c r="M791" s="15"/>
      <c r="N791" s="15"/>
      <c r="O791" s="15"/>
    </row>
    <row r="792" spans="1:15" ht="16.5" thickBot="1" x14ac:dyDescent="0.3">
      <c r="A792" s="5">
        <f>A785</f>
        <v>3</v>
      </c>
      <c r="B792" s="5"/>
      <c r="C792" s="6">
        <v>10</v>
      </c>
      <c r="D792" s="75" t="s">
        <v>250</v>
      </c>
      <c r="E792" s="76"/>
      <c r="F792" s="76"/>
      <c r="G792" s="77"/>
      <c r="I792" s="15"/>
      <c r="J792" s="15"/>
      <c r="K792" s="15"/>
      <c r="L792" s="15" t="str">
        <f>"PulsePort("&amp;ClockComChannel&amp;",10000)"</f>
        <v>PulsePort(1,10000)</v>
      </c>
      <c r="M792" s="15"/>
      <c r="N792" s="15"/>
      <c r="O792" s="15"/>
    </row>
    <row r="793" spans="1:15" x14ac:dyDescent="0.25">
      <c r="I793" s="15"/>
      <c r="J793" s="15"/>
      <c r="K793" s="15"/>
      <c r="L793" s="15"/>
      <c r="M793" s="17" t="str">
        <f>"'LI200X Pyranometer measurements 'SlrMJReflect' and 'SlrkWReflect' VoltDiff(Dest, Reps, Range, DiffChan, RevDiff, SettlingTime, Integ, Mult, Offset)"</f>
        <v>'LI200X Pyranometer measurements 'SlrMJReflect' and 'SlrkWReflect' VoltDiff(Dest, Reps, Range, DiffChan, RevDiff, SettlingTime, Integ, Mult, Offset)</v>
      </c>
      <c r="N793" s="15"/>
      <c r="O793" s="15"/>
    </row>
    <row r="794" spans="1:15" x14ac:dyDescent="0.25">
      <c r="A794" s="49" t="s">
        <v>190</v>
      </c>
      <c r="B794">
        <f>C792</f>
        <v>10</v>
      </c>
      <c r="C794" t="s">
        <v>181</v>
      </c>
      <c r="D794">
        <f>VLOOKUP("MUXDiffChannel",MUXChans,A792+1,FALSE)</f>
        <v>4</v>
      </c>
      <c r="E794" t="s">
        <v>101</v>
      </c>
      <c r="I794" s="15"/>
      <c r="J794" s="15"/>
      <c r="K794" s="15"/>
      <c r="L794" s="15"/>
      <c r="M794" s="15" t="str">
        <f>CONCATENATE(A794,B794,C794,D794,E794,F794,G794)</f>
        <v>VoltDiff(SlrReflectkW(10),1,mV7_5,4,True,0,_60Hz,1,0)</v>
      </c>
      <c r="N794" s="15"/>
      <c r="O794" s="15"/>
    </row>
    <row r="795" spans="1:15" x14ac:dyDescent="0.25">
      <c r="A795" t="s">
        <v>194</v>
      </c>
      <c r="B795">
        <f>C792</f>
        <v>10</v>
      </c>
      <c r="C795" t="s">
        <v>195</v>
      </c>
      <c r="D795">
        <f>B795</f>
        <v>10</v>
      </c>
      <c r="E795" t="s">
        <v>196</v>
      </c>
      <c r="I795" s="15"/>
      <c r="J795" s="15"/>
      <c r="K795" s="15"/>
      <c r="L795" s="15"/>
      <c r="M795" s="15" t="str">
        <f>CONCATENATE(A795,B795,C795,D795,E795,F795)</f>
        <v>if SlrReflectkW(10) &lt; 0 Then SlrReflectkW(10) = 0</v>
      </c>
      <c r="N795" s="15"/>
      <c r="O795" s="15"/>
    </row>
    <row r="796" spans="1:15" x14ac:dyDescent="0.25">
      <c r="A796" t="s">
        <v>193</v>
      </c>
      <c r="B796">
        <f>C792</f>
        <v>10</v>
      </c>
      <c r="C796" s="49" t="s">
        <v>191</v>
      </c>
      <c r="D796">
        <f>B796</f>
        <v>10</v>
      </c>
      <c r="E796" s="49" t="s">
        <v>197</v>
      </c>
      <c r="F796">
        <f>ScanFrequencyInSec*0.0002</f>
        <v>0.12000000000000001</v>
      </c>
      <c r="I796" s="15"/>
      <c r="J796" s="15"/>
      <c r="K796" s="15"/>
      <c r="L796" s="15"/>
      <c r="M796" s="15" t="str">
        <f>CONCATENATE(A796,B796,C796,D796,E796,F796)</f>
        <v>SlrReflectMJ(10)=SlrReflectkW(10) * 0.12</v>
      </c>
      <c r="N796" s="15"/>
      <c r="O796" s="15"/>
    </row>
    <row r="797" spans="1:15" x14ac:dyDescent="0.25">
      <c r="A797" t="s">
        <v>192</v>
      </c>
      <c r="B797">
        <f>C792</f>
        <v>10</v>
      </c>
      <c r="C797" s="49" t="s">
        <v>191</v>
      </c>
      <c r="D797">
        <f>B797</f>
        <v>10</v>
      </c>
      <c r="E797" s="49" t="s">
        <v>197</v>
      </c>
      <c r="F797">
        <v>0.2</v>
      </c>
      <c r="I797" s="15"/>
      <c r="J797" s="15"/>
      <c r="K797" s="15"/>
      <c r="L797" s="15"/>
      <c r="M797" s="15" t="str">
        <f>CONCATENATE(A797,B797,C797,D797,E797,F797)</f>
        <v>SlrReflectkW(10)=SlrReflectkW(10) * 0.2</v>
      </c>
      <c r="N797" s="15"/>
      <c r="O797" s="15"/>
    </row>
    <row r="798" spans="1:15" ht="15.75" thickBot="1" x14ac:dyDescent="0.3">
      <c r="A798" s="1" t="s">
        <v>199</v>
      </c>
      <c r="B798" s="1" t="s">
        <v>253</v>
      </c>
      <c r="C798" s="1" t="s">
        <v>35</v>
      </c>
      <c r="D798" s="1"/>
      <c r="E798" s="1"/>
      <c r="F798" s="1"/>
      <c r="G798" s="1"/>
      <c r="I798" s="15"/>
      <c r="J798" s="15"/>
      <c r="K798" s="15"/>
      <c r="L798" s="17" t="str">
        <f>"'Switch on next AM416 Multiplexer channel.  PulsePort(DataLogger channel C#, Delay)"</f>
        <v>'Switch on next AM416 Multiplexer channel.  PulsePort(DataLogger channel C#, Delay)</v>
      </c>
      <c r="M798" s="15"/>
      <c r="N798" s="15"/>
      <c r="O798" s="15"/>
    </row>
    <row r="799" spans="1:15" ht="16.5" thickBot="1" x14ac:dyDescent="0.3">
      <c r="A799" s="5">
        <f>A792</f>
        <v>3</v>
      </c>
      <c r="B799" s="5"/>
      <c r="C799" s="6">
        <v>11</v>
      </c>
      <c r="D799" s="75" t="s">
        <v>250</v>
      </c>
      <c r="E799" s="76"/>
      <c r="F799" s="76"/>
      <c r="G799" s="77"/>
      <c r="I799" s="15"/>
      <c r="J799" s="15"/>
      <c r="K799" s="15"/>
      <c r="L799" s="15" t="str">
        <f>"PulsePort("&amp;ClockComChannel&amp;",10000)"</f>
        <v>PulsePort(1,10000)</v>
      </c>
      <c r="M799" s="15"/>
      <c r="N799" s="15"/>
      <c r="O799" s="15"/>
    </row>
    <row r="800" spans="1:15" x14ac:dyDescent="0.25">
      <c r="I800" s="15"/>
      <c r="J800" s="15"/>
      <c r="K800" s="15"/>
      <c r="L800" s="15"/>
      <c r="M800" s="17" t="str">
        <f>"'LI200X Pyranometer measurements 'SlrMJReflect' and 'SlrkWReflect' VoltDiff(Dest, Reps, Range, DiffChan, RevDiff, SettlingTime, Integ, Mult, Offset)"</f>
        <v>'LI200X Pyranometer measurements 'SlrMJReflect' and 'SlrkWReflect' VoltDiff(Dest, Reps, Range, DiffChan, RevDiff, SettlingTime, Integ, Mult, Offset)</v>
      </c>
      <c r="N800" s="15"/>
      <c r="O800" s="15"/>
    </row>
    <row r="801" spans="1:15" x14ac:dyDescent="0.25">
      <c r="A801" s="49" t="s">
        <v>190</v>
      </c>
      <c r="B801">
        <f>C799</f>
        <v>11</v>
      </c>
      <c r="C801" t="s">
        <v>181</v>
      </c>
      <c r="D801">
        <f>VLOOKUP("MUXDiffChannel",MUXChans,A799+1,FALSE)</f>
        <v>4</v>
      </c>
      <c r="E801" t="s">
        <v>101</v>
      </c>
      <c r="I801" s="15"/>
      <c r="J801" s="15"/>
      <c r="K801" s="15"/>
      <c r="L801" s="15"/>
      <c r="M801" s="15" t="str">
        <f>CONCATENATE(A801,B801,C801,D801,E801,F801,G801)</f>
        <v>VoltDiff(SlrReflectkW(11),1,mV7_5,4,True,0,_60Hz,1,0)</v>
      </c>
      <c r="N801" s="15"/>
      <c r="O801" s="15"/>
    </row>
    <row r="802" spans="1:15" x14ac:dyDescent="0.25">
      <c r="A802" t="s">
        <v>194</v>
      </c>
      <c r="B802">
        <f>C799</f>
        <v>11</v>
      </c>
      <c r="C802" t="s">
        <v>195</v>
      </c>
      <c r="D802">
        <f>B802</f>
        <v>11</v>
      </c>
      <c r="E802" t="s">
        <v>196</v>
      </c>
      <c r="I802" s="15"/>
      <c r="J802" s="15"/>
      <c r="K802" s="15"/>
      <c r="L802" s="15"/>
      <c r="M802" s="15" t="str">
        <f>CONCATENATE(A802,B802,C802,D802,E802,F802)</f>
        <v>if SlrReflectkW(11) &lt; 0 Then SlrReflectkW(11) = 0</v>
      </c>
      <c r="N802" s="15"/>
      <c r="O802" s="15"/>
    </row>
    <row r="803" spans="1:15" x14ac:dyDescent="0.25">
      <c r="A803" t="s">
        <v>193</v>
      </c>
      <c r="B803">
        <f>C799</f>
        <v>11</v>
      </c>
      <c r="C803" s="49" t="s">
        <v>191</v>
      </c>
      <c r="D803">
        <f>B803</f>
        <v>11</v>
      </c>
      <c r="E803" s="49" t="s">
        <v>197</v>
      </c>
      <c r="F803">
        <f>ScanFrequencyInSec*0.0002</f>
        <v>0.12000000000000001</v>
      </c>
      <c r="I803" s="15"/>
      <c r="J803" s="15"/>
      <c r="K803" s="15"/>
      <c r="L803" s="15"/>
      <c r="M803" s="15" t="str">
        <f>CONCATENATE(A803,B803,C803,D803,E803,F803)</f>
        <v>SlrReflectMJ(11)=SlrReflectkW(11) * 0.12</v>
      </c>
      <c r="N803" s="15"/>
      <c r="O803" s="15"/>
    </row>
    <row r="804" spans="1:15" x14ac:dyDescent="0.25">
      <c r="A804" t="s">
        <v>192</v>
      </c>
      <c r="B804">
        <f>C799</f>
        <v>11</v>
      </c>
      <c r="C804" s="49" t="s">
        <v>191</v>
      </c>
      <c r="D804">
        <f>B804</f>
        <v>11</v>
      </c>
      <c r="E804" s="49" t="s">
        <v>197</v>
      </c>
      <c r="F804">
        <v>0.2</v>
      </c>
      <c r="I804" s="15"/>
      <c r="J804" s="15"/>
      <c r="K804" s="15"/>
      <c r="L804" s="15"/>
      <c r="M804" s="15" t="str">
        <f>CONCATENATE(A804,B804,C804,D804,E804,F804)</f>
        <v>SlrReflectkW(11)=SlrReflectkW(11) * 0.2</v>
      </c>
      <c r="N804" s="15"/>
      <c r="O804" s="15"/>
    </row>
    <row r="805" spans="1:15" ht="15.75" thickBot="1" x14ac:dyDescent="0.3">
      <c r="A805" s="1" t="s">
        <v>199</v>
      </c>
      <c r="B805" s="1" t="s">
        <v>253</v>
      </c>
      <c r="C805" s="1" t="s">
        <v>35</v>
      </c>
      <c r="D805" s="1"/>
      <c r="E805" s="1"/>
      <c r="F805" s="1"/>
      <c r="G805" s="1"/>
      <c r="I805" s="15"/>
      <c r="J805" s="15"/>
      <c r="K805" s="15"/>
      <c r="L805" s="17" t="str">
        <f>"'Switch on next AM416 Multiplexer channel.  PulsePort(DataLogger channel C#, Delay)"</f>
        <v>'Switch on next AM416 Multiplexer channel.  PulsePort(DataLogger channel C#, Delay)</v>
      </c>
      <c r="M805" s="15"/>
      <c r="N805" s="15"/>
      <c r="O805" s="15"/>
    </row>
    <row r="806" spans="1:15" ht="16.5" thickBot="1" x14ac:dyDescent="0.3">
      <c r="A806" s="5">
        <f>A799</f>
        <v>3</v>
      </c>
      <c r="B806" s="5"/>
      <c r="C806" s="6">
        <v>12</v>
      </c>
      <c r="D806" s="75" t="s">
        <v>250</v>
      </c>
      <c r="E806" s="76"/>
      <c r="F806" s="76"/>
      <c r="G806" s="77"/>
      <c r="I806" s="15"/>
      <c r="J806" s="15"/>
      <c r="K806" s="15"/>
      <c r="L806" s="15" t="str">
        <f>"PulsePort("&amp;ClockComChannel&amp;",10000)"</f>
        <v>PulsePort(1,10000)</v>
      </c>
      <c r="M806" s="15"/>
      <c r="N806" s="15"/>
      <c r="O806" s="15"/>
    </row>
    <row r="807" spans="1:15" x14ac:dyDescent="0.25">
      <c r="I807" s="15"/>
      <c r="J807" s="15"/>
      <c r="K807" s="15"/>
      <c r="L807" s="15"/>
      <c r="M807" s="17" t="str">
        <f>"'LI200X Pyranometer measurements 'SlrMJReflect' and 'SlrkWReflect' VoltDiff(Dest, Reps, Range, DiffChan, RevDiff, SettlingTime, Integ, Mult, Offset)"</f>
        <v>'LI200X Pyranometer measurements 'SlrMJReflect' and 'SlrkWReflect' VoltDiff(Dest, Reps, Range, DiffChan, RevDiff, SettlingTime, Integ, Mult, Offset)</v>
      </c>
      <c r="N807" s="15"/>
      <c r="O807" s="15"/>
    </row>
    <row r="808" spans="1:15" x14ac:dyDescent="0.25">
      <c r="A808" s="49" t="s">
        <v>190</v>
      </c>
      <c r="B808">
        <f>C806</f>
        <v>12</v>
      </c>
      <c r="C808" t="s">
        <v>181</v>
      </c>
      <c r="D808">
        <f>VLOOKUP("MUXDiffChannel",MUXChans,A806+1,FALSE)</f>
        <v>4</v>
      </c>
      <c r="E808" t="s">
        <v>101</v>
      </c>
      <c r="I808" s="15"/>
      <c r="J808" s="15"/>
      <c r="K808" s="15"/>
      <c r="L808" s="15"/>
      <c r="M808" s="15" t="str">
        <f>CONCATENATE(A808,B808,C808,D808,E808,F808,G808)</f>
        <v>VoltDiff(SlrReflectkW(12),1,mV7_5,4,True,0,_60Hz,1,0)</v>
      </c>
      <c r="N808" s="15"/>
      <c r="O808" s="15"/>
    </row>
    <row r="809" spans="1:15" x14ac:dyDescent="0.25">
      <c r="A809" t="s">
        <v>194</v>
      </c>
      <c r="B809">
        <f>C806</f>
        <v>12</v>
      </c>
      <c r="C809" t="s">
        <v>195</v>
      </c>
      <c r="D809">
        <f>B809</f>
        <v>12</v>
      </c>
      <c r="E809" t="s">
        <v>196</v>
      </c>
      <c r="I809" s="15"/>
      <c r="J809" s="15"/>
      <c r="K809" s="15"/>
      <c r="L809" s="15"/>
      <c r="M809" s="15" t="str">
        <f>CONCATENATE(A809,B809,C809,D809,E809,F809)</f>
        <v>if SlrReflectkW(12) &lt; 0 Then SlrReflectkW(12) = 0</v>
      </c>
      <c r="N809" s="15"/>
      <c r="O809" s="15"/>
    </row>
    <row r="810" spans="1:15" x14ac:dyDescent="0.25">
      <c r="A810" t="s">
        <v>193</v>
      </c>
      <c r="B810">
        <f>C806</f>
        <v>12</v>
      </c>
      <c r="C810" s="49" t="s">
        <v>191</v>
      </c>
      <c r="D810">
        <f>B810</f>
        <v>12</v>
      </c>
      <c r="E810" s="49" t="s">
        <v>197</v>
      </c>
      <c r="F810">
        <f>ScanFrequencyInSec*0.0002</f>
        <v>0.12000000000000001</v>
      </c>
      <c r="I810" s="15"/>
      <c r="J810" s="15"/>
      <c r="K810" s="15"/>
      <c r="L810" s="15"/>
      <c r="M810" s="15" t="str">
        <f>CONCATENATE(A810,B810,C810,D810,E810,F810)</f>
        <v>SlrReflectMJ(12)=SlrReflectkW(12) * 0.12</v>
      </c>
      <c r="N810" s="15"/>
      <c r="O810" s="15"/>
    </row>
    <row r="811" spans="1:15" x14ac:dyDescent="0.25">
      <c r="A811" t="s">
        <v>192</v>
      </c>
      <c r="B811">
        <f>C806</f>
        <v>12</v>
      </c>
      <c r="C811" s="49" t="s">
        <v>191</v>
      </c>
      <c r="D811">
        <f>B811</f>
        <v>12</v>
      </c>
      <c r="E811" s="49" t="s">
        <v>197</v>
      </c>
      <c r="F811">
        <v>0.2</v>
      </c>
      <c r="I811" s="15"/>
      <c r="J811" s="15"/>
      <c r="K811" s="15"/>
      <c r="L811" s="15"/>
      <c r="M811" s="15" t="str">
        <f>CONCATENATE(A811,B811,C811,D811,E811,F811)</f>
        <v>SlrReflectkW(12)=SlrReflectkW(12) * 0.2</v>
      </c>
      <c r="N811" s="15"/>
      <c r="O811" s="15"/>
    </row>
    <row r="812" spans="1:15" x14ac:dyDescent="0.25">
      <c r="A812" s="16"/>
      <c r="B812" s="16"/>
      <c r="C812" s="16"/>
      <c r="D812" s="16"/>
      <c r="E812" s="16"/>
      <c r="F812" s="16"/>
      <c r="G812" s="16"/>
      <c r="I812" s="15"/>
      <c r="J812" s="15"/>
      <c r="K812" s="17" t="str">
        <f>"'Turn AM16/32 Multiplexer Off.  PortSet(DataLogger channel C#, State 0=off and reset)"</f>
        <v>'Turn AM16/32 Multiplexer Off.  PortSet(DataLogger channel C#, State 0=off and reset)</v>
      </c>
      <c r="L812" s="15"/>
      <c r="M812" s="15"/>
      <c r="N812" s="15"/>
      <c r="O812" s="15"/>
    </row>
    <row r="813" spans="1:15" x14ac:dyDescent="0.25">
      <c r="A813" s="3" t="s">
        <v>29</v>
      </c>
      <c r="B813" s="3">
        <f>VLOOKUP("MUXResComChannel",MUXChans,B723+1,FALSE)</f>
        <v>4</v>
      </c>
      <c r="C813" s="3" t="s">
        <v>48</v>
      </c>
      <c r="D813" s="16"/>
      <c r="E813" s="16"/>
      <c r="F813" s="16"/>
      <c r="G813" s="16"/>
      <c r="I813" s="15"/>
      <c r="J813" s="15"/>
      <c r="K813" s="15" t="str">
        <f>CONCATENATE(A813,B813,C813)</f>
        <v>PortSet(4,0)</v>
      </c>
      <c r="L813" s="15"/>
      <c r="M813" s="15"/>
      <c r="N813" s="15"/>
      <c r="O813" s="15"/>
    </row>
    <row r="814" spans="1:15" ht="15.75" thickBot="1" x14ac:dyDescent="0.3">
      <c r="A814" s="16"/>
      <c r="B814" s="16"/>
      <c r="C814" s="16"/>
      <c r="D814" s="16"/>
      <c r="E814" s="16"/>
      <c r="F814" s="16"/>
      <c r="G814" s="16"/>
      <c r="I814" s="15"/>
      <c r="J814" s="15"/>
      <c r="K814" s="15" t="s">
        <v>53</v>
      </c>
      <c r="L814" s="15"/>
      <c r="M814" s="15"/>
      <c r="N814" s="15"/>
      <c r="O814" s="15"/>
    </row>
    <row r="815" spans="1:15" ht="15.75" thickBot="1" x14ac:dyDescent="0.3">
      <c r="A815" s="5" t="s">
        <v>199</v>
      </c>
      <c r="B815" s="5">
        <v>4</v>
      </c>
      <c r="C815" s="78" t="s">
        <v>251</v>
      </c>
      <c r="D815" s="79"/>
      <c r="E815" s="79"/>
      <c r="F815" s="79"/>
      <c r="G815" s="80"/>
      <c r="I815" s="15"/>
      <c r="J815" s="15"/>
      <c r="K815" s="17" t="str">
        <f>"'Turn AM16/32 Multiplexer On.  PortSet(DataLogger com channel, State 1=on and can respond to clock pulses)"</f>
        <v>'Turn AM16/32 Multiplexer On.  PortSet(DataLogger com channel, State 1=on and can respond to clock pulses)</v>
      </c>
      <c r="L815" s="15"/>
      <c r="M815" s="15"/>
      <c r="N815" s="15"/>
      <c r="O815" s="15"/>
    </row>
    <row r="816" spans="1:15" x14ac:dyDescent="0.25">
      <c r="A816" s="3" t="s">
        <v>29</v>
      </c>
      <c r="B816">
        <f>VLOOKUP("MUXResComChannel",MUXChans,B815+1,FALSE)</f>
        <v>5</v>
      </c>
      <c r="C816" t="s">
        <v>30</v>
      </c>
      <c r="D816" s="16"/>
      <c r="E816" s="16"/>
      <c r="F816" s="16"/>
      <c r="G816" s="16"/>
      <c r="I816" s="15"/>
      <c r="J816" s="15"/>
      <c r="K816" s="15" t="str">
        <f>CONCATENATE(A816,B816,C816)</f>
        <v>PortSet(5,1)</v>
      </c>
      <c r="L816" s="15"/>
      <c r="M816" s="15"/>
      <c r="N816" s="15"/>
      <c r="O816" s="15"/>
    </row>
    <row r="817" spans="1:15" x14ac:dyDescent="0.25">
      <c r="A817" s="16"/>
      <c r="B817" s="16"/>
      <c r="C817" s="16"/>
      <c r="D817" s="16"/>
      <c r="E817" s="16"/>
      <c r="F817" s="16"/>
      <c r="G817" s="16"/>
      <c r="I817" s="15"/>
      <c r="J817" s="15"/>
      <c r="K817" s="15" t="s">
        <v>53</v>
      </c>
      <c r="L817" s="15"/>
      <c r="M817" s="15"/>
      <c r="N817" s="15"/>
      <c r="O817" s="15"/>
    </row>
    <row r="818" spans="1:15" ht="15.75" thickBot="1" x14ac:dyDescent="0.3">
      <c r="A818" s="1" t="s">
        <v>200</v>
      </c>
      <c r="B818" s="1" t="s">
        <v>253</v>
      </c>
      <c r="C818" s="1" t="s">
        <v>35</v>
      </c>
      <c r="D818" s="1"/>
      <c r="E818" s="1"/>
      <c r="F818" s="1"/>
      <c r="G818" s="1"/>
      <c r="I818" s="15"/>
      <c r="J818" s="15"/>
      <c r="K818" s="15"/>
      <c r="L818" s="17" t="str">
        <f>"'Switch on the first AM416 Multiplexer channel.  PulsePort(DataLogger channel C#, Delay)"</f>
        <v>'Switch on the first AM416 Multiplexer channel.  PulsePort(DataLogger channel C#, Delay)</v>
      </c>
      <c r="M818" s="15"/>
      <c r="N818" s="15"/>
      <c r="O818" s="15"/>
    </row>
    <row r="819" spans="1:15" ht="16.5" thickBot="1" x14ac:dyDescent="0.3">
      <c r="A819" s="5">
        <f>B815</f>
        <v>4</v>
      </c>
      <c r="B819" s="5"/>
      <c r="C819" s="6">
        <v>1</v>
      </c>
      <c r="D819" s="72" t="s">
        <v>254</v>
      </c>
      <c r="E819" s="73"/>
      <c r="F819" s="73"/>
      <c r="G819" s="74"/>
      <c r="I819" s="15"/>
      <c r="J819" s="15"/>
      <c r="K819" s="15"/>
      <c r="L819" s="15" t="str">
        <f>"PulsePort("&amp;ClockComChannel&amp;",10000)"</f>
        <v>PulsePort(1,10000)</v>
      </c>
      <c r="M819" s="15"/>
      <c r="N819" s="15"/>
      <c r="O819" s="15"/>
    </row>
    <row r="820" spans="1:15" x14ac:dyDescent="0.25">
      <c r="I820" s="15"/>
      <c r="J820" s="15"/>
      <c r="K820" s="15"/>
      <c r="L820" s="15"/>
      <c r="M820" s="17" t="str">
        <f>"'108 Temperature Probe measurement 'T108_C.  Therm108(Dest,Reps,SEChan,VxChan,Settlingtime,Integration,Multiplier,Offset)"</f>
        <v>'108 Temperature Probe measurement 'T108_C.  Therm108(Dest,Reps,SEChan,VxChan,Settlingtime,Integration,Multiplier,Offset)</v>
      </c>
      <c r="N820" s="15"/>
      <c r="O820" s="15"/>
    </row>
    <row r="821" spans="1:15" x14ac:dyDescent="0.25">
      <c r="A821" t="s">
        <v>198</v>
      </c>
      <c r="B821">
        <f>C819</f>
        <v>1</v>
      </c>
      <c r="C821" t="s">
        <v>130</v>
      </c>
      <c r="D821">
        <f>VLOOKUP("MUXSEChannel",MUXChans,A819+1,FALSE)</f>
        <v>16</v>
      </c>
      <c r="E821" t="s">
        <v>46</v>
      </c>
      <c r="F821" t="str">
        <f>"VX"&amp;VLOOKUP("MUXVXChannel",MUXChannnels,A819+1,FALSE)</f>
        <v>VX1</v>
      </c>
      <c r="G821" t="s">
        <v>182</v>
      </c>
      <c r="I821" s="15"/>
      <c r="J821" s="15"/>
      <c r="K821" s="15"/>
      <c r="L821" s="15"/>
      <c r="M821" s="15" t="str">
        <f>CONCATENATE(A821,B821,C821,D821,E821,F821,G821)</f>
        <v>Therm108(SoilSurfTC(1),1,16,VX1,0,_60hz,1,0)</v>
      </c>
      <c r="N821" s="15"/>
      <c r="O821" s="15"/>
    </row>
    <row r="822" spans="1:15" ht="15.75" thickBot="1" x14ac:dyDescent="0.3">
      <c r="A822" s="1" t="s">
        <v>200</v>
      </c>
      <c r="B822" s="1" t="s">
        <v>253</v>
      </c>
      <c r="C822" s="1" t="s">
        <v>35</v>
      </c>
      <c r="D822" s="1"/>
      <c r="E822" s="1"/>
      <c r="F822" s="1"/>
      <c r="G822" s="1"/>
      <c r="I822" s="15"/>
      <c r="J822" s="15"/>
      <c r="K822" s="15"/>
      <c r="L822" s="17" t="str">
        <f>"'Switch on next AM416 Multiplexer channel.  PulsePort(DataLogger channel C#, Delay)"</f>
        <v>'Switch on next AM416 Multiplexer channel.  PulsePort(DataLogger channel C#, Delay)</v>
      </c>
      <c r="M822" s="15"/>
      <c r="N822" s="15"/>
      <c r="O822" s="15"/>
    </row>
    <row r="823" spans="1:15" ht="16.5" thickBot="1" x14ac:dyDescent="0.3">
      <c r="A823" s="5">
        <f>A819</f>
        <v>4</v>
      </c>
      <c r="B823" s="5"/>
      <c r="C823" s="6">
        <f>C819+1</f>
        <v>2</v>
      </c>
      <c r="D823" s="72" t="s">
        <v>254</v>
      </c>
      <c r="E823" s="73"/>
      <c r="F823" s="73"/>
      <c r="G823" s="74"/>
      <c r="I823" s="15"/>
      <c r="J823" s="15"/>
      <c r="K823" s="15"/>
      <c r="L823" s="15" t="str">
        <f>"PulsePort("&amp;ClockComChannel&amp;",10000)"</f>
        <v>PulsePort(1,10000)</v>
      </c>
      <c r="M823" s="15"/>
      <c r="N823" s="15"/>
      <c r="O823" s="15"/>
    </row>
    <row r="824" spans="1:15" x14ac:dyDescent="0.25">
      <c r="I824" s="15"/>
      <c r="J824" s="15"/>
      <c r="K824" s="15"/>
      <c r="L824" s="15"/>
      <c r="M824" s="17" t="str">
        <f>"'108 Temperature Probe measurement 'T108_C.  Therm108(Dest,Reps,SEChan,VxChan,Settlingtime,Integration,Multiplier,Offset)"</f>
        <v>'108 Temperature Probe measurement 'T108_C.  Therm108(Dest,Reps,SEChan,VxChan,Settlingtime,Integration,Multiplier,Offset)</v>
      </c>
      <c r="N824" s="15"/>
      <c r="O824" s="15"/>
    </row>
    <row r="825" spans="1:15" x14ac:dyDescent="0.25">
      <c r="A825" t="s">
        <v>198</v>
      </c>
      <c r="B825">
        <f>C823</f>
        <v>2</v>
      </c>
      <c r="C825" t="s">
        <v>130</v>
      </c>
      <c r="D825">
        <f>VLOOKUP("MUXSEChannel",MUXChans,A823+1,FALSE)</f>
        <v>16</v>
      </c>
      <c r="E825" t="s">
        <v>46</v>
      </c>
      <c r="F825" t="str">
        <f>"VX"&amp;VLOOKUP("MUXVXChannel",MUXChannnels,A823+1,FALSE)</f>
        <v>VX1</v>
      </c>
      <c r="G825" t="s">
        <v>182</v>
      </c>
      <c r="I825" s="15"/>
      <c r="J825" s="15"/>
      <c r="K825" s="15"/>
      <c r="L825" s="15"/>
      <c r="M825" s="15" t="str">
        <f>CONCATENATE(A825,B825,C825,D825,E825,F825,G825)</f>
        <v>Therm108(SoilSurfTC(2),1,16,VX1,0,_60hz,1,0)</v>
      </c>
      <c r="N825" s="15"/>
      <c r="O825" s="15"/>
    </row>
    <row r="826" spans="1:15" ht="15.75" thickBot="1" x14ac:dyDescent="0.3">
      <c r="A826" s="1" t="s">
        <v>200</v>
      </c>
      <c r="B826" s="1" t="s">
        <v>253</v>
      </c>
      <c r="C826" s="1" t="s">
        <v>35</v>
      </c>
      <c r="D826" s="1"/>
      <c r="E826" s="1"/>
      <c r="F826" s="1"/>
      <c r="G826" s="1"/>
      <c r="I826" s="15"/>
      <c r="J826" s="15"/>
      <c r="K826" s="15"/>
      <c r="L826" s="17" t="str">
        <f>"'Switch on next AM416 Multiplexer channel.  PulsePort(DataLogger channel C#, Delay)"</f>
        <v>'Switch on next AM416 Multiplexer channel.  PulsePort(DataLogger channel C#, Delay)</v>
      </c>
      <c r="M826" s="15"/>
      <c r="N826" s="15"/>
      <c r="O826" s="15"/>
    </row>
    <row r="827" spans="1:15" ht="16.5" thickBot="1" x14ac:dyDescent="0.3">
      <c r="A827" s="5">
        <f>A823</f>
        <v>4</v>
      </c>
      <c r="B827" s="5"/>
      <c r="C827" s="6">
        <f>C823+1</f>
        <v>3</v>
      </c>
      <c r="D827" s="72" t="s">
        <v>254</v>
      </c>
      <c r="E827" s="73"/>
      <c r="F827" s="73"/>
      <c r="G827" s="74"/>
      <c r="I827" s="15"/>
      <c r="J827" s="15"/>
      <c r="K827" s="15"/>
      <c r="L827" s="15" t="str">
        <f>"PulsePort("&amp;ClockComChannel&amp;",10000)"</f>
        <v>PulsePort(1,10000)</v>
      </c>
      <c r="M827" s="15"/>
      <c r="N827" s="15"/>
      <c r="O827" s="15"/>
    </row>
    <row r="828" spans="1:15" x14ac:dyDescent="0.25">
      <c r="I828" s="15"/>
      <c r="J828" s="15"/>
      <c r="K828" s="15"/>
      <c r="L828" s="15"/>
      <c r="M828" s="17" t="str">
        <f>"'108 Temperature Probe measurement 'T108_C.  Therm108(Dest,Reps,SEChan,VxChan,Settlingtime,Integration,Multiplier,Offset)"</f>
        <v>'108 Temperature Probe measurement 'T108_C.  Therm108(Dest,Reps,SEChan,VxChan,Settlingtime,Integration,Multiplier,Offset)</v>
      </c>
      <c r="N828" s="15"/>
      <c r="O828" s="15"/>
    </row>
    <row r="829" spans="1:15" x14ac:dyDescent="0.25">
      <c r="A829" t="s">
        <v>198</v>
      </c>
      <c r="B829">
        <f>C827</f>
        <v>3</v>
      </c>
      <c r="C829" t="s">
        <v>130</v>
      </c>
      <c r="D829">
        <f>VLOOKUP("MUXSEChannel",MUXChans,A827+1,FALSE)</f>
        <v>16</v>
      </c>
      <c r="E829" t="s">
        <v>46</v>
      </c>
      <c r="F829" t="str">
        <f>"VX"&amp;VLOOKUP("MUXVXChannel",MUXChannnels,A827+1,FALSE)</f>
        <v>VX1</v>
      </c>
      <c r="G829" t="s">
        <v>182</v>
      </c>
      <c r="I829" s="15"/>
      <c r="J829" s="15"/>
      <c r="K829" s="15"/>
      <c r="L829" s="15"/>
      <c r="M829" s="15" t="str">
        <f>CONCATENATE(A829,B829,C829,D829,E829,F829,G829)</f>
        <v>Therm108(SoilSurfTC(3),1,16,VX1,0,_60hz,1,0)</v>
      </c>
      <c r="N829" s="15"/>
      <c r="O829" s="15"/>
    </row>
    <row r="830" spans="1:15" ht="15.75" thickBot="1" x14ac:dyDescent="0.3">
      <c r="A830" s="1" t="s">
        <v>200</v>
      </c>
      <c r="B830" s="1" t="s">
        <v>253</v>
      </c>
      <c r="C830" s="1" t="s">
        <v>35</v>
      </c>
      <c r="D830" s="1"/>
      <c r="E830" s="1"/>
      <c r="F830" s="1"/>
      <c r="G830" s="1"/>
      <c r="I830" s="15"/>
      <c r="J830" s="15"/>
      <c r="K830" s="15"/>
      <c r="L830" s="17" t="str">
        <f>"'Switch on next AM416 Multiplexer channel.  PulsePort(DataLogger channel C#, Delay)"</f>
        <v>'Switch on next AM416 Multiplexer channel.  PulsePort(DataLogger channel C#, Delay)</v>
      </c>
      <c r="M830" s="15"/>
      <c r="N830" s="15"/>
      <c r="O830" s="15"/>
    </row>
    <row r="831" spans="1:15" ht="16.5" thickBot="1" x14ac:dyDescent="0.3">
      <c r="A831" s="5">
        <f>A827</f>
        <v>4</v>
      </c>
      <c r="B831" s="5"/>
      <c r="C831" s="6">
        <f>C827+1</f>
        <v>4</v>
      </c>
      <c r="D831" s="72" t="s">
        <v>254</v>
      </c>
      <c r="E831" s="73"/>
      <c r="F831" s="73"/>
      <c r="G831" s="74"/>
      <c r="I831" s="15"/>
      <c r="J831" s="15"/>
      <c r="K831" s="15"/>
      <c r="L831" s="15" t="str">
        <f>"PulsePort("&amp;ClockComChannel&amp;",10000)"</f>
        <v>PulsePort(1,10000)</v>
      </c>
      <c r="M831" s="15"/>
      <c r="N831" s="15"/>
      <c r="O831" s="15"/>
    </row>
    <row r="832" spans="1:15" x14ac:dyDescent="0.25">
      <c r="I832" s="15"/>
      <c r="J832" s="15"/>
      <c r="K832" s="15"/>
      <c r="L832" s="15"/>
      <c r="M832" s="17" t="str">
        <f>"'108 Temperature Probe measurement 'T108_C.  Therm108(Dest,Reps,SEChan,VxChan,Settlingtime,Integration,Multiplier,Offset)"</f>
        <v>'108 Temperature Probe measurement 'T108_C.  Therm108(Dest,Reps,SEChan,VxChan,Settlingtime,Integration,Multiplier,Offset)</v>
      </c>
      <c r="N832" s="15"/>
      <c r="O832" s="15"/>
    </row>
    <row r="833" spans="1:15" x14ac:dyDescent="0.25">
      <c r="A833" t="s">
        <v>198</v>
      </c>
      <c r="B833">
        <f>C831</f>
        <v>4</v>
      </c>
      <c r="C833" t="s">
        <v>130</v>
      </c>
      <c r="D833">
        <f>VLOOKUP("MUXSEChannel",MUXChans,A831+1,FALSE)</f>
        <v>16</v>
      </c>
      <c r="E833" t="s">
        <v>46</v>
      </c>
      <c r="F833" t="str">
        <f>"VX"&amp;VLOOKUP("MUXVXChannel",MUXChannnels,A831+1,FALSE)</f>
        <v>VX1</v>
      </c>
      <c r="G833" t="s">
        <v>182</v>
      </c>
      <c r="I833" s="15"/>
      <c r="J833" s="15"/>
      <c r="K833" s="15"/>
      <c r="L833" s="15"/>
      <c r="M833" s="15" t="str">
        <f>CONCATENATE(A833,B833,C833,D833,E833,F833,G833)</f>
        <v>Therm108(SoilSurfTC(4),1,16,VX1,0,_60hz,1,0)</v>
      </c>
      <c r="N833" s="15"/>
      <c r="O833" s="15"/>
    </row>
    <row r="834" spans="1:15" ht="15.75" thickBot="1" x14ac:dyDescent="0.3">
      <c r="A834" s="1" t="s">
        <v>200</v>
      </c>
      <c r="B834" s="1" t="s">
        <v>253</v>
      </c>
      <c r="C834" s="1" t="s">
        <v>35</v>
      </c>
      <c r="D834" s="1"/>
      <c r="E834" s="1"/>
      <c r="F834" s="1"/>
      <c r="G834" s="1"/>
      <c r="I834" s="15"/>
      <c r="J834" s="15"/>
      <c r="K834" s="15"/>
      <c r="L834" s="17" t="str">
        <f>"'Switch on next AM416 Multiplexer channel.  PulsePort(DataLogger channel C#, Delay)"</f>
        <v>'Switch on next AM416 Multiplexer channel.  PulsePort(DataLogger channel C#, Delay)</v>
      </c>
      <c r="M834" s="15"/>
      <c r="N834" s="15"/>
      <c r="O834" s="15"/>
    </row>
    <row r="835" spans="1:15" ht="16.5" thickBot="1" x14ac:dyDescent="0.3">
      <c r="A835" s="5">
        <f>A831</f>
        <v>4</v>
      </c>
      <c r="B835" s="5"/>
      <c r="C835" s="6">
        <f>C831+1</f>
        <v>5</v>
      </c>
      <c r="D835" s="72" t="s">
        <v>254</v>
      </c>
      <c r="E835" s="73"/>
      <c r="F835" s="73"/>
      <c r="G835" s="74"/>
      <c r="I835" s="15"/>
      <c r="J835" s="15"/>
      <c r="K835" s="15"/>
      <c r="L835" s="15" t="str">
        <f>"PulsePort("&amp;ClockComChannel&amp;",10000)"</f>
        <v>PulsePort(1,10000)</v>
      </c>
      <c r="M835" s="15"/>
      <c r="N835" s="15"/>
      <c r="O835" s="15"/>
    </row>
    <row r="836" spans="1:15" x14ac:dyDescent="0.25">
      <c r="I836" s="15"/>
      <c r="J836" s="15"/>
      <c r="K836" s="15"/>
      <c r="L836" s="15"/>
      <c r="M836" s="17" t="str">
        <f>"'108 Temperature Probe measurement 'T108_C.  Therm108(Dest,Reps,SEChan,VxChan,Settlingtime,Integration,Multiplier,Offset)"</f>
        <v>'108 Temperature Probe measurement 'T108_C.  Therm108(Dest,Reps,SEChan,VxChan,Settlingtime,Integration,Multiplier,Offset)</v>
      </c>
      <c r="N836" s="15"/>
      <c r="O836" s="15"/>
    </row>
    <row r="837" spans="1:15" x14ac:dyDescent="0.25">
      <c r="A837" t="s">
        <v>198</v>
      </c>
      <c r="B837">
        <f>C835</f>
        <v>5</v>
      </c>
      <c r="C837" t="s">
        <v>130</v>
      </c>
      <c r="D837">
        <f>VLOOKUP("MUXSEChannel",MUXChans,A835+1,FALSE)</f>
        <v>16</v>
      </c>
      <c r="E837" t="s">
        <v>46</v>
      </c>
      <c r="F837" t="str">
        <f>"VX"&amp;VLOOKUP("MUXVXChannel",MUXChannnels,A835+1,FALSE)</f>
        <v>VX1</v>
      </c>
      <c r="G837" t="s">
        <v>182</v>
      </c>
      <c r="I837" s="15"/>
      <c r="J837" s="15"/>
      <c r="K837" s="15"/>
      <c r="L837" s="15"/>
      <c r="M837" s="15" t="str">
        <f>CONCATENATE(A837,B837,C837,D837,E837,F837,G837)</f>
        <v>Therm108(SoilSurfTC(5),1,16,VX1,0,_60hz,1,0)</v>
      </c>
      <c r="N837" s="15"/>
      <c r="O837" s="15"/>
    </row>
    <row r="838" spans="1:15" ht="15.75" thickBot="1" x14ac:dyDescent="0.3">
      <c r="A838" s="1" t="s">
        <v>200</v>
      </c>
      <c r="B838" s="1" t="s">
        <v>253</v>
      </c>
      <c r="C838" s="1" t="s">
        <v>35</v>
      </c>
      <c r="D838" s="1"/>
      <c r="E838" s="1"/>
      <c r="F838" s="1"/>
      <c r="G838" s="1"/>
      <c r="I838" s="15"/>
      <c r="J838" s="15"/>
      <c r="K838" s="15"/>
      <c r="L838" s="17" t="str">
        <f>"'Switch on next AM416 Multiplexer channel.  PulsePort(DataLogger channel C#, Delay)"</f>
        <v>'Switch on next AM416 Multiplexer channel.  PulsePort(DataLogger channel C#, Delay)</v>
      </c>
      <c r="M838" s="15"/>
      <c r="N838" s="15"/>
      <c r="O838" s="15"/>
    </row>
    <row r="839" spans="1:15" ht="16.5" thickBot="1" x14ac:dyDescent="0.3">
      <c r="A839" s="5">
        <f>A835</f>
        <v>4</v>
      </c>
      <c r="B839" s="5"/>
      <c r="C839" s="6">
        <f>C835+1</f>
        <v>6</v>
      </c>
      <c r="D839" s="72" t="s">
        <v>254</v>
      </c>
      <c r="E839" s="73"/>
      <c r="F839" s="73"/>
      <c r="G839" s="74"/>
      <c r="I839" s="15"/>
      <c r="J839" s="15"/>
      <c r="K839" s="15"/>
      <c r="L839" s="15" t="str">
        <f>"PulsePort("&amp;ClockComChannel&amp;",10000)"</f>
        <v>PulsePort(1,10000)</v>
      </c>
      <c r="M839" s="15"/>
      <c r="N839" s="15"/>
      <c r="O839" s="15"/>
    </row>
    <row r="840" spans="1:15" x14ac:dyDescent="0.25">
      <c r="I840" s="15"/>
      <c r="J840" s="15"/>
      <c r="K840" s="15"/>
      <c r="L840" s="15"/>
      <c r="M840" s="17" t="str">
        <f>"'108 Temperature Probe measurement 'T108_C.  Therm108(Dest,Reps,SEChan,VxChan,Settlingtime,Integration,Multiplier,Offset)"</f>
        <v>'108 Temperature Probe measurement 'T108_C.  Therm108(Dest,Reps,SEChan,VxChan,Settlingtime,Integration,Multiplier,Offset)</v>
      </c>
      <c r="N840" s="15"/>
      <c r="O840" s="15"/>
    </row>
    <row r="841" spans="1:15" x14ac:dyDescent="0.25">
      <c r="A841" t="s">
        <v>198</v>
      </c>
      <c r="B841">
        <f>C839</f>
        <v>6</v>
      </c>
      <c r="C841" t="s">
        <v>130</v>
      </c>
      <c r="D841">
        <f>VLOOKUP("MUXSEChannel",MUXChans,A839+1,FALSE)</f>
        <v>16</v>
      </c>
      <c r="E841" t="s">
        <v>46</v>
      </c>
      <c r="F841" t="str">
        <f>"VX"&amp;VLOOKUP("MUXVXChannel",MUXChannnels,A839+1,FALSE)</f>
        <v>VX1</v>
      </c>
      <c r="G841" t="s">
        <v>182</v>
      </c>
      <c r="I841" s="15"/>
      <c r="J841" s="15"/>
      <c r="K841" s="15"/>
      <c r="L841" s="15"/>
      <c r="M841" s="15" t="str">
        <f>CONCATENATE(A841,B841,C841,D841,E841,F841,G841)</f>
        <v>Therm108(SoilSurfTC(6),1,16,VX1,0,_60hz,1,0)</v>
      </c>
      <c r="N841" s="15"/>
      <c r="O841" s="15"/>
    </row>
    <row r="842" spans="1:15" ht="15.75" thickBot="1" x14ac:dyDescent="0.3">
      <c r="A842" s="1" t="s">
        <v>200</v>
      </c>
      <c r="B842" s="1" t="s">
        <v>253</v>
      </c>
      <c r="C842" s="1" t="s">
        <v>35</v>
      </c>
      <c r="D842" s="1"/>
      <c r="E842" s="1"/>
      <c r="F842" s="1"/>
      <c r="G842" s="1"/>
      <c r="I842" s="15"/>
      <c r="J842" s="15"/>
      <c r="K842" s="15"/>
      <c r="L842" s="17" t="str">
        <f>"'Switch on next AM416 Multiplexer channel.  PulsePort(DataLogger channel C#, Delay)"</f>
        <v>'Switch on next AM416 Multiplexer channel.  PulsePort(DataLogger channel C#, Delay)</v>
      </c>
      <c r="M842" s="15"/>
      <c r="N842" s="15"/>
      <c r="O842" s="15"/>
    </row>
    <row r="843" spans="1:15" ht="16.5" thickBot="1" x14ac:dyDescent="0.3">
      <c r="A843" s="5">
        <f>A839</f>
        <v>4</v>
      </c>
      <c r="B843" s="5"/>
      <c r="C843" s="6">
        <f>C839+1</f>
        <v>7</v>
      </c>
      <c r="D843" s="72" t="s">
        <v>254</v>
      </c>
      <c r="E843" s="73"/>
      <c r="F843" s="73"/>
      <c r="G843" s="74"/>
      <c r="I843" s="15"/>
      <c r="J843" s="15"/>
      <c r="K843" s="15"/>
      <c r="L843" s="15" t="str">
        <f>"PulsePort("&amp;ClockComChannel&amp;",10000)"</f>
        <v>PulsePort(1,10000)</v>
      </c>
      <c r="M843" s="15"/>
      <c r="N843" s="15"/>
      <c r="O843" s="15"/>
    </row>
    <row r="844" spans="1:15" x14ac:dyDescent="0.25">
      <c r="I844" s="15"/>
      <c r="J844" s="15"/>
      <c r="K844" s="15"/>
      <c r="L844" s="15"/>
      <c r="M844" s="17" t="str">
        <f>"'108 Temperature Probe measurement 'T108_C.  Therm108(Dest,Reps,SEChan,VxChan,Settlingtime,Integration,Multiplier,Offset)"</f>
        <v>'108 Temperature Probe measurement 'T108_C.  Therm108(Dest,Reps,SEChan,VxChan,Settlingtime,Integration,Multiplier,Offset)</v>
      </c>
      <c r="N844" s="15"/>
      <c r="O844" s="15"/>
    </row>
    <row r="845" spans="1:15" x14ac:dyDescent="0.25">
      <c r="A845" t="s">
        <v>198</v>
      </c>
      <c r="B845">
        <f>C843</f>
        <v>7</v>
      </c>
      <c r="C845" t="s">
        <v>130</v>
      </c>
      <c r="D845">
        <f>VLOOKUP("MUXSEChannel",MUXChans,A843+1,FALSE)</f>
        <v>16</v>
      </c>
      <c r="E845" t="s">
        <v>46</v>
      </c>
      <c r="F845" t="str">
        <f>"VX"&amp;VLOOKUP("MUXVXChannel",MUXChannnels,A843+1,FALSE)</f>
        <v>VX1</v>
      </c>
      <c r="G845" t="s">
        <v>182</v>
      </c>
      <c r="I845" s="15"/>
      <c r="J845" s="15"/>
      <c r="K845" s="15"/>
      <c r="L845" s="15"/>
      <c r="M845" s="15" t="str">
        <f>CONCATENATE(A845,B845,C845,D845,E845,F845,G845)</f>
        <v>Therm108(SoilSurfTC(7),1,16,VX1,0,_60hz,1,0)</v>
      </c>
      <c r="N845" s="15"/>
      <c r="O845" s="15"/>
    </row>
    <row r="846" spans="1:15" ht="15.75" thickBot="1" x14ac:dyDescent="0.3">
      <c r="A846" s="1" t="s">
        <v>200</v>
      </c>
      <c r="B846" s="1" t="s">
        <v>253</v>
      </c>
      <c r="C846" s="1" t="s">
        <v>35</v>
      </c>
      <c r="D846" s="1"/>
      <c r="E846" s="1"/>
      <c r="F846" s="1"/>
      <c r="G846" s="1"/>
      <c r="I846" s="15"/>
      <c r="J846" s="15"/>
      <c r="K846" s="15"/>
      <c r="L846" s="17" t="str">
        <f>"'Switch on next AM416 Multiplexer channel.  PulsePort(DataLogger channel C#, Delay)"</f>
        <v>'Switch on next AM416 Multiplexer channel.  PulsePort(DataLogger channel C#, Delay)</v>
      </c>
      <c r="M846" s="15"/>
      <c r="N846" s="15"/>
      <c r="O846" s="15"/>
    </row>
    <row r="847" spans="1:15" ht="16.5" thickBot="1" x14ac:dyDescent="0.3">
      <c r="A847" s="5">
        <f>A843</f>
        <v>4</v>
      </c>
      <c r="B847" s="5"/>
      <c r="C847" s="6">
        <f>C843+1</f>
        <v>8</v>
      </c>
      <c r="D847" s="72" t="s">
        <v>254</v>
      </c>
      <c r="E847" s="73"/>
      <c r="F847" s="73"/>
      <c r="G847" s="74"/>
      <c r="I847" s="15"/>
      <c r="J847" s="15"/>
      <c r="K847" s="15"/>
      <c r="L847" s="15" t="str">
        <f>"PulsePort("&amp;ClockComChannel&amp;",10000)"</f>
        <v>PulsePort(1,10000)</v>
      </c>
      <c r="M847" s="15"/>
      <c r="N847" s="15"/>
      <c r="O847" s="15"/>
    </row>
    <row r="848" spans="1:15" x14ac:dyDescent="0.25">
      <c r="I848" s="15"/>
      <c r="J848" s="15"/>
      <c r="K848" s="15"/>
      <c r="L848" s="15"/>
      <c r="M848" s="17" t="str">
        <f>"'108 Temperature Probe measurement 'T108_C.  Therm108(Dest,Reps,SEChan,VxChan,Settlingtime,Integration,Multiplier,Offset)"</f>
        <v>'108 Temperature Probe measurement 'T108_C.  Therm108(Dest,Reps,SEChan,VxChan,Settlingtime,Integration,Multiplier,Offset)</v>
      </c>
      <c r="N848" s="15"/>
      <c r="O848" s="15"/>
    </row>
    <row r="849" spans="1:15" x14ac:dyDescent="0.25">
      <c r="A849" t="s">
        <v>198</v>
      </c>
      <c r="B849">
        <f>C847</f>
        <v>8</v>
      </c>
      <c r="C849" t="s">
        <v>130</v>
      </c>
      <c r="D849">
        <f>VLOOKUP("MUXSEChannel",MUXChans,A847+1,FALSE)</f>
        <v>16</v>
      </c>
      <c r="E849" t="s">
        <v>46</v>
      </c>
      <c r="F849" t="str">
        <f>"VX"&amp;VLOOKUP("MUXVXChannel",MUXChannnels,A847+1,FALSE)</f>
        <v>VX1</v>
      </c>
      <c r="G849" t="s">
        <v>182</v>
      </c>
      <c r="I849" s="15"/>
      <c r="J849" s="15"/>
      <c r="K849" s="15"/>
      <c r="L849" s="15"/>
      <c r="M849" s="15" t="str">
        <f>CONCATENATE(A849,B849,C849,D849,E849,F849,G849)</f>
        <v>Therm108(SoilSurfTC(8),1,16,VX1,0,_60hz,1,0)</v>
      </c>
      <c r="N849" s="15"/>
      <c r="O849" s="15"/>
    </row>
    <row r="850" spans="1:15" ht="15.75" thickBot="1" x14ac:dyDescent="0.3">
      <c r="A850" s="1" t="s">
        <v>200</v>
      </c>
      <c r="B850" s="1" t="s">
        <v>253</v>
      </c>
      <c r="C850" s="1" t="s">
        <v>35</v>
      </c>
      <c r="D850" s="1"/>
      <c r="E850" s="1"/>
      <c r="F850" s="1"/>
      <c r="G850" s="1"/>
      <c r="I850" s="15"/>
      <c r="J850" s="15"/>
      <c r="K850" s="15"/>
      <c r="L850" s="17" t="str">
        <f>"'Switch on next AM416 Multiplexer channel.  PulsePort(DataLogger channel C#, Delay)"</f>
        <v>'Switch on next AM416 Multiplexer channel.  PulsePort(DataLogger channel C#, Delay)</v>
      </c>
      <c r="M850" s="15"/>
      <c r="N850" s="15"/>
      <c r="O850" s="15"/>
    </row>
    <row r="851" spans="1:15" ht="16.5" thickBot="1" x14ac:dyDescent="0.3">
      <c r="A851" s="5">
        <f>A847</f>
        <v>4</v>
      </c>
      <c r="B851" s="5"/>
      <c r="C851" s="6">
        <f>C847+1</f>
        <v>9</v>
      </c>
      <c r="D851" s="72" t="s">
        <v>254</v>
      </c>
      <c r="E851" s="73"/>
      <c r="F851" s="73"/>
      <c r="G851" s="74"/>
      <c r="I851" s="15"/>
      <c r="J851" s="15"/>
      <c r="K851" s="15"/>
      <c r="L851" s="15" t="str">
        <f>"PulsePort("&amp;ClockComChannel&amp;",10000)"</f>
        <v>PulsePort(1,10000)</v>
      </c>
      <c r="M851" s="15"/>
      <c r="N851" s="15"/>
      <c r="O851" s="15"/>
    </row>
    <row r="852" spans="1:15" x14ac:dyDescent="0.25">
      <c r="I852" s="15"/>
      <c r="J852" s="15"/>
      <c r="K852" s="15"/>
      <c r="L852" s="15"/>
      <c r="M852" s="17" t="str">
        <f>"'108 Temperature Probe measurement 'T108_C.  Therm108(Dest,Reps,SEChan,VxChan,Settlingtime,Integration,Multiplier,Offset)"</f>
        <v>'108 Temperature Probe measurement 'T108_C.  Therm108(Dest,Reps,SEChan,VxChan,Settlingtime,Integration,Multiplier,Offset)</v>
      </c>
      <c r="N852" s="15"/>
      <c r="O852" s="15"/>
    </row>
    <row r="853" spans="1:15" x14ac:dyDescent="0.25">
      <c r="A853" t="s">
        <v>198</v>
      </c>
      <c r="B853">
        <f>C851</f>
        <v>9</v>
      </c>
      <c r="C853" t="s">
        <v>130</v>
      </c>
      <c r="D853">
        <f>VLOOKUP("MUXSEChannel",MUXChans,A851+1,FALSE)</f>
        <v>16</v>
      </c>
      <c r="E853" t="s">
        <v>46</v>
      </c>
      <c r="F853" t="str">
        <f>"VX"&amp;VLOOKUP("MUXVXChannel",MUXChannnels,A851+1,FALSE)</f>
        <v>VX1</v>
      </c>
      <c r="G853" t="s">
        <v>182</v>
      </c>
      <c r="I853" s="15"/>
      <c r="J853" s="15"/>
      <c r="K853" s="15"/>
      <c r="L853" s="15"/>
      <c r="M853" s="15" t="str">
        <f>CONCATENATE(A853,B853,C853,D853,E853,F853,G853)</f>
        <v>Therm108(SoilSurfTC(9),1,16,VX1,0,_60hz,1,0)</v>
      </c>
      <c r="N853" s="15"/>
      <c r="O853" s="15"/>
    </row>
    <row r="854" spans="1:15" ht="15.75" thickBot="1" x14ac:dyDescent="0.3">
      <c r="A854" s="1" t="s">
        <v>200</v>
      </c>
      <c r="B854" s="1" t="s">
        <v>253</v>
      </c>
      <c r="C854" s="1" t="s">
        <v>35</v>
      </c>
      <c r="D854" s="1"/>
      <c r="E854" s="1"/>
      <c r="F854" s="1"/>
      <c r="G854" s="1"/>
      <c r="I854" s="15"/>
      <c r="J854" s="15"/>
      <c r="K854" s="15"/>
      <c r="L854" s="17" t="str">
        <f>"'Switch on next AM416 Multiplexer channel.  PulsePort(DataLogger channel C#, Delay)"</f>
        <v>'Switch on next AM416 Multiplexer channel.  PulsePort(DataLogger channel C#, Delay)</v>
      </c>
      <c r="M854" s="15"/>
      <c r="N854" s="15"/>
      <c r="O854" s="15"/>
    </row>
    <row r="855" spans="1:15" ht="16.5" thickBot="1" x14ac:dyDescent="0.3">
      <c r="A855" s="5">
        <f>A851</f>
        <v>4</v>
      </c>
      <c r="B855" s="5"/>
      <c r="C855" s="6">
        <f>C851+1</f>
        <v>10</v>
      </c>
      <c r="D855" s="72" t="s">
        <v>254</v>
      </c>
      <c r="E855" s="73"/>
      <c r="F855" s="73"/>
      <c r="G855" s="74"/>
      <c r="I855" s="15"/>
      <c r="J855" s="15"/>
      <c r="K855" s="15"/>
      <c r="L855" s="15" t="str">
        <f>"PulsePort("&amp;ClockComChannel&amp;",10000)"</f>
        <v>PulsePort(1,10000)</v>
      </c>
      <c r="M855" s="15"/>
      <c r="N855" s="15"/>
      <c r="O855" s="15"/>
    </row>
    <row r="856" spans="1:15" x14ac:dyDescent="0.25">
      <c r="I856" s="15"/>
      <c r="J856" s="15"/>
      <c r="K856" s="15"/>
      <c r="L856" s="15"/>
      <c r="M856" s="17" t="str">
        <f>"'108 Temperature Probe measurement 'T108_C.  Therm108(Dest,Reps,SEChan,VxChan,Settlingtime,Integration,Multiplier,Offset)"</f>
        <v>'108 Temperature Probe measurement 'T108_C.  Therm108(Dest,Reps,SEChan,VxChan,Settlingtime,Integration,Multiplier,Offset)</v>
      </c>
      <c r="N856" s="15"/>
      <c r="O856" s="15"/>
    </row>
    <row r="857" spans="1:15" x14ac:dyDescent="0.25">
      <c r="A857" t="s">
        <v>198</v>
      </c>
      <c r="B857">
        <f>C855</f>
        <v>10</v>
      </c>
      <c r="C857" t="s">
        <v>130</v>
      </c>
      <c r="D857">
        <f>VLOOKUP("MUXSEChannel",MUXChans,A855+1,FALSE)</f>
        <v>16</v>
      </c>
      <c r="E857" t="s">
        <v>46</v>
      </c>
      <c r="F857" t="str">
        <f>"VX"&amp;VLOOKUP("MUXVXChannel",MUXChannnels,A855+1,FALSE)</f>
        <v>VX1</v>
      </c>
      <c r="G857" t="s">
        <v>182</v>
      </c>
      <c r="I857" s="15"/>
      <c r="J857" s="15"/>
      <c r="K857" s="15"/>
      <c r="L857" s="15"/>
      <c r="M857" s="15" t="str">
        <f>CONCATENATE(A857,B857,C857,D857,E857,F857,G857)</f>
        <v>Therm108(SoilSurfTC(10),1,16,VX1,0,_60hz,1,0)</v>
      </c>
      <c r="N857" s="15"/>
      <c r="O857" s="15"/>
    </row>
    <row r="858" spans="1:15" ht="15.75" thickBot="1" x14ac:dyDescent="0.3">
      <c r="A858" s="1" t="s">
        <v>200</v>
      </c>
      <c r="B858" s="1" t="s">
        <v>253</v>
      </c>
      <c r="C858" s="1" t="s">
        <v>35</v>
      </c>
      <c r="D858" s="1"/>
      <c r="E858" s="1"/>
      <c r="F858" s="1"/>
      <c r="G858" s="1"/>
      <c r="I858" s="15"/>
      <c r="J858" s="15"/>
      <c r="K858" s="15"/>
      <c r="L858" s="17" t="str">
        <f>"'Switch on next AM416 Multiplexer channel.  PulsePort(DataLogger channel C#, Delay)"</f>
        <v>'Switch on next AM416 Multiplexer channel.  PulsePort(DataLogger channel C#, Delay)</v>
      </c>
      <c r="M858" s="15"/>
      <c r="N858" s="15"/>
      <c r="O858" s="15"/>
    </row>
    <row r="859" spans="1:15" ht="16.5" thickBot="1" x14ac:dyDescent="0.3">
      <c r="A859" s="5">
        <f>A855</f>
        <v>4</v>
      </c>
      <c r="B859" s="5"/>
      <c r="C859" s="6">
        <f>C855+1</f>
        <v>11</v>
      </c>
      <c r="D859" s="72" t="s">
        <v>254</v>
      </c>
      <c r="E859" s="73"/>
      <c r="F859" s="73"/>
      <c r="G859" s="74"/>
      <c r="I859" s="15"/>
      <c r="J859" s="15"/>
      <c r="K859" s="15"/>
      <c r="L859" s="15" t="str">
        <f>"PulsePort("&amp;ClockComChannel&amp;",10000)"</f>
        <v>PulsePort(1,10000)</v>
      </c>
      <c r="M859" s="15"/>
      <c r="N859" s="15"/>
      <c r="O859" s="15"/>
    </row>
    <row r="860" spans="1:15" x14ac:dyDescent="0.25">
      <c r="I860" s="15"/>
      <c r="J860" s="15"/>
      <c r="K860" s="15"/>
      <c r="L860" s="15"/>
      <c r="M860" s="17" t="str">
        <f>"'108 Temperature Probe measurement 'T108_C.  Therm108(Dest,Reps,SEChan,VxChan,Settlingtime,Integration,Multiplier,Offset)"</f>
        <v>'108 Temperature Probe measurement 'T108_C.  Therm108(Dest,Reps,SEChan,VxChan,Settlingtime,Integration,Multiplier,Offset)</v>
      </c>
      <c r="N860" s="15"/>
      <c r="O860" s="15"/>
    </row>
    <row r="861" spans="1:15" x14ac:dyDescent="0.25">
      <c r="A861" t="s">
        <v>198</v>
      </c>
      <c r="B861">
        <f>C859</f>
        <v>11</v>
      </c>
      <c r="C861" t="s">
        <v>130</v>
      </c>
      <c r="D861">
        <f>VLOOKUP("MUXSEChannel",MUXChans,A859+1,FALSE)</f>
        <v>16</v>
      </c>
      <c r="E861" t="s">
        <v>46</v>
      </c>
      <c r="F861" t="str">
        <f>"VX"&amp;VLOOKUP("MUXVXChannel",MUXChannnels,A859+1,FALSE)</f>
        <v>VX1</v>
      </c>
      <c r="G861" t="s">
        <v>182</v>
      </c>
      <c r="I861" s="15"/>
      <c r="J861" s="15"/>
      <c r="K861" s="15"/>
      <c r="L861" s="15"/>
      <c r="M861" s="15" t="str">
        <f>CONCATENATE(A861,B861,C861,D861,E861,F861,G861)</f>
        <v>Therm108(SoilSurfTC(11),1,16,VX1,0,_60hz,1,0)</v>
      </c>
      <c r="N861" s="15"/>
      <c r="O861" s="15"/>
    </row>
    <row r="862" spans="1:15" ht="15.75" thickBot="1" x14ac:dyDescent="0.3">
      <c r="A862" s="1" t="s">
        <v>200</v>
      </c>
      <c r="B862" s="1" t="s">
        <v>253</v>
      </c>
      <c r="C862" s="1" t="s">
        <v>35</v>
      </c>
      <c r="D862" s="1"/>
      <c r="E862" s="1"/>
      <c r="F862" s="1"/>
      <c r="G862" s="1"/>
      <c r="I862" s="15"/>
      <c r="J862" s="15"/>
      <c r="K862" s="15"/>
      <c r="L862" s="17" t="str">
        <f>"'Switch on next AM416 Multiplexer channel.  PulsePort(DataLogger channel C#, Delay)"</f>
        <v>'Switch on next AM416 Multiplexer channel.  PulsePort(DataLogger channel C#, Delay)</v>
      </c>
      <c r="M862" s="15"/>
      <c r="N862" s="15"/>
      <c r="O862" s="15"/>
    </row>
    <row r="863" spans="1:15" ht="16.5" thickBot="1" x14ac:dyDescent="0.3">
      <c r="A863" s="5">
        <f>A859</f>
        <v>4</v>
      </c>
      <c r="B863" s="5"/>
      <c r="C863" s="6">
        <f>C859+1</f>
        <v>12</v>
      </c>
      <c r="D863" s="72" t="s">
        <v>254</v>
      </c>
      <c r="E863" s="73"/>
      <c r="F863" s="73"/>
      <c r="G863" s="74"/>
      <c r="I863" s="15"/>
      <c r="J863" s="15"/>
      <c r="K863" s="15"/>
      <c r="L863" s="15" t="str">
        <f>"PulsePort("&amp;ClockComChannel&amp;",10000)"</f>
        <v>PulsePort(1,10000)</v>
      </c>
      <c r="M863" s="15"/>
      <c r="N863" s="15"/>
      <c r="O863" s="15"/>
    </row>
    <row r="864" spans="1:15" x14ac:dyDescent="0.25">
      <c r="I864" s="15"/>
      <c r="J864" s="15"/>
      <c r="K864" s="15"/>
      <c r="L864" s="15"/>
      <c r="M864" s="17" t="str">
        <f>"'108 Temperature Probe measurement 'T108_C.  Therm108(Dest,Reps,SEChan,VxChan,Settlingtime,Integration,Multiplier,Offset)"</f>
        <v>'108 Temperature Probe measurement 'T108_C.  Therm108(Dest,Reps,SEChan,VxChan,Settlingtime,Integration,Multiplier,Offset)</v>
      </c>
      <c r="N864" s="15"/>
      <c r="O864" s="15"/>
    </row>
    <row r="865" spans="1:15" x14ac:dyDescent="0.25">
      <c r="A865" t="s">
        <v>198</v>
      </c>
      <c r="B865">
        <f>C863</f>
        <v>12</v>
      </c>
      <c r="C865" t="s">
        <v>130</v>
      </c>
      <c r="D865">
        <f>VLOOKUP("MUXSEChannel",MUXChans,A863+1,FALSE)</f>
        <v>16</v>
      </c>
      <c r="E865" t="s">
        <v>46</v>
      </c>
      <c r="F865" t="str">
        <f>"VX"&amp;VLOOKUP("MUXVXChannel",MUXChannnels,A863+1,FALSE)</f>
        <v>VX1</v>
      </c>
      <c r="G865" t="s">
        <v>182</v>
      </c>
      <c r="I865" s="15"/>
      <c r="J865" s="15"/>
      <c r="K865" s="15"/>
      <c r="L865" s="15"/>
      <c r="M865" s="15" t="str">
        <f>CONCATENATE(A865,B865,C865,D865,E865,F865,G865)</f>
        <v>Therm108(SoilSurfTC(12),1,16,VX1,0,_60hz,1,0)</v>
      </c>
      <c r="N865" s="15"/>
      <c r="O865" s="15"/>
    </row>
    <row r="866" spans="1:15" ht="15.75" thickBot="1" x14ac:dyDescent="0.3">
      <c r="A866" s="1" t="s">
        <v>200</v>
      </c>
      <c r="B866" s="1" t="s">
        <v>253</v>
      </c>
      <c r="C866" s="1" t="s">
        <v>35</v>
      </c>
      <c r="D866" s="1"/>
      <c r="E866" s="1"/>
      <c r="F866" s="1"/>
      <c r="G866" s="1"/>
      <c r="I866" s="15"/>
      <c r="J866" s="15"/>
      <c r="K866" s="15"/>
      <c r="L866" s="17" t="str">
        <f>"'Switch on next AM416 Multiplexer channel.  PulsePort(DataLogger channel C#, Delay)"</f>
        <v>'Switch on next AM416 Multiplexer channel.  PulsePort(DataLogger channel C#, Delay)</v>
      </c>
      <c r="M866" s="15"/>
      <c r="N866" s="15"/>
      <c r="O866" s="15"/>
    </row>
    <row r="867" spans="1:15" ht="16.5" thickBot="1" x14ac:dyDescent="0.3">
      <c r="A867" s="5">
        <f>A863</f>
        <v>4</v>
      </c>
      <c r="B867" s="5"/>
      <c r="C867" s="6">
        <f>C863+1</f>
        <v>13</v>
      </c>
      <c r="D867" s="72" t="s">
        <v>254</v>
      </c>
      <c r="E867" s="73"/>
      <c r="F867" s="73"/>
      <c r="G867" s="74"/>
      <c r="I867" s="15"/>
      <c r="J867" s="15"/>
      <c r="K867" s="15"/>
      <c r="L867" s="15" t="str">
        <f>"PulsePort("&amp;ClockComChannel&amp;",10000)"</f>
        <v>PulsePort(1,10000)</v>
      </c>
      <c r="M867" s="15"/>
      <c r="N867" s="15"/>
      <c r="O867" s="15"/>
    </row>
    <row r="868" spans="1:15" x14ac:dyDescent="0.25">
      <c r="I868" s="15"/>
      <c r="J868" s="15"/>
      <c r="K868" s="15"/>
      <c r="L868" s="15"/>
      <c r="M868" s="17" t="str">
        <f>"'108 Temperature Probe measurement 'T108_C.  Therm108(Dest,Reps,SEChan,VxChan,Settlingtime,Integration,Multiplier,Offset)"</f>
        <v>'108 Temperature Probe measurement 'T108_C.  Therm108(Dest,Reps,SEChan,VxChan,Settlingtime,Integration,Multiplier,Offset)</v>
      </c>
      <c r="N868" s="15"/>
      <c r="O868" s="15"/>
    </row>
    <row r="869" spans="1:15" x14ac:dyDescent="0.25">
      <c r="A869" t="s">
        <v>198</v>
      </c>
      <c r="B869">
        <f>C867</f>
        <v>13</v>
      </c>
      <c r="C869" t="s">
        <v>130</v>
      </c>
      <c r="D869">
        <f>VLOOKUP("MUXSEChannel",MUXChans,A867+1,FALSE)</f>
        <v>16</v>
      </c>
      <c r="E869" t="s">
        <v>46</v>
      </c>
      <c r="F869" t="str">
        <f>"VX"&amp;VLOOKUP("MUXVXChannel",MUXChannnels,A867+1,FALSE)</f>
        <v>VX1</v>
      </c>
      <c r="G869" t="s">
        <v>182</v>
      </c>
      <c r="I869" s="15"/>
      <c r="J869" s="15"/>
      <c r="K869" s="15"/>
      <c r="L869" s="15"/>
      <c r="M869" s="15" t="str">
        <f>CONCATENATE(A869,B869,C869,D869,E869,F869,G869)</f>
        <v>Therm108(SoilSurfTC(13),1,16,VX1,0,_60hz,1,0)</v>
      </c>
      <c r="N869" s="15"/>
      <c r="O869" s="15"/>
    </row>
    <row r="870" spans="1:15" ht="15.75" thickBot="1" x14ac:dyDescent="0.3">
      <c r="A870" s="1" t="s">
        <v>200</v>
      </c>
      <c r="B870" s="1" t="s">
        <v>253</v>
      </c>
      <c r="C870" s="1" t="s">
        <v>35</v>
      </c>
      <c r="D870" s="1"/>
      <c r="E870" s="1"/>
      <c r="F870" s="1"/>
      <c r="G870" s="1"/>
      <c r="I870" s="15"/>
      <c r="J870" s="15"/>
      <c r="K870" s="15"/>
      <c r="L870" s="17" t="str">
        <f>"'Switch on next AM416 Multiplexer channel.  PulsePort(DataLogger channel C#, Delay)"</f>
        <v>'Switch on next AM416 Multiplexer channel.  PulsePort(DataLogger channel C#, Delay)</v>
      </c>
      <c r="M870" s="15"/>
      <c r="N870" s="15"/>
      <c r="O870" s="15"/>
    </row>
    <row r="871" spans="1:15" ht="16.5" thickBot="1" x14ac:dyDescent="0.3">
      <c r="A871" s="5">
        <f>A867</f>
        <v>4</v>
      </c>
      <c r="B871" s="5"/>
      <c r="C871" s="6">
        <f>C867+1</f>
        <v>14</v>
      </c>
      <c r="D871" s="72" t="s">
        <v>254</v>
      </c>
      <c r="E871" s="73"/>
      <c r="F871" s="73"/>
      <c r="G871" s="74"/>
      <c r="I871" s="15"/>
      <c r="J871" s="15"/>
      <c r="K871" s="15"/>
      <c r="L871" s="15" t="str">
        <f>"PulsePort("&amp;ClockComChannel&amp;",10000)"</f>
        <v>PulsePort(1,10000)</v>
      </c>
      <c r="M871" s="15"/>
      <c r="N871" s="15"/>
      <c r="O871" s="15"/>
    </row>
    <row r="872" spans="1:15" x14ac:dyDescent="0.25">
      <c r="I872" s="15"/>
      <c r="J872" s="15"/>
      <c r="K872" s="15"/>
      <c r="L872" s="15"/>
      <c r="M872" s="17" t="str">
        <f>"'108 Temperature Probe measurement 'T108_C.  Therm108(Dest,Reps,SEChan,VxChan,Settlingtime,Integration,Multiplier,Offset)"</f>
        <v>'108 Temperature Probe measurement 'T108_C.  Therm108(Dest,Reps,SEChan,VxChan,Settlingtime,Integration,Multiplier,Offset)</v>
      </c>
      <c r="N872" s="15"/>
      <c r="O872" s="15"/>
    </row>
    <row r="873" spans="1:15" x14ac:dyDescent="0.25">
      <c r="A873" t="s">
        <v>198</v>
      </c>
      <c r="B873">
        <f>C871</f>
        <v>14</v>
      </c>
      <c r="C873" t="s">
        <v>130</v>
      </c>
      <c r="D873">
        <f>VLOOKUP("MUXSEChannel",MUXChans,A871+1,FALSE)</f>
        <v>16</v>
      </c>
      <c r="E873" t="s">
        <v>46</v>
      </c>
      <c r="F873" t="str">
        <f>"VX"&amp;VLOOKUP("MUXVXChannel",MUXChannnels,A871+1,FALSE)</f>
        <v>VX1</v>
      </c>
      <c r="G873" t="s">
        <v>182</v>
      </c>
      <c r="I873" s="15"/>
      <c r="J873" s="15"/>
      <c r="K873" s="15"/>
      <c r="L873" s="15"/>
      <c r="M873" s="15" t="str">
        <f>CONCATENATE(A873,B873,C873,D873,E873,F873,G873)</f>
        <v>Therm108(SoilSurfTC(14),1,16,VX1,0,_60hz,1,0)</v>
      </c>
      <c r="N873" s="15"/>
      <c r="O873" s="15"/>
    </row>
    <row r="874" spans="1:15" ht="15.75" thickBot="1" x14ac:dyDescent="0.3">
      <c r="A874" s="1" t="s">
        <v>200</v>
      </c>
      <c r="B874" s="1" t="s">
        <v>253</v>
      </c>
      <c r="C874" s="1" t="s">
        <v>35</v>
      </c>
      <c r="D874" s="1"/>
      <c r="E874" s="1"/>
      <c r="F874" s="1"/>
      <c r="G874" s="1"/>
      <c r="I874" s="15"/>
      <c r="J874" s="15"/>
      <c r="K874" s="15"/>
      <c r="L874" s="17" t="str">
        <f>"'Switch on next AM416 Multiplexer channel.  PulsePort(DataLogger channel C#, Delay)"</f>
        <v>'Switch on next AM416 Multiplexer channel.  PulsePort(DataLogger channel C#, Delay)</v>
      </c>
      <c r="M874" s="15"/>
      <c r="N874" s="15"/>
      <c r="O874" s="15"/>
    </row>
    <row r="875" spans="1:15" ht="16.5" thickBot="1" x14ac:dyDescent="0.3">
      <c r="A875" s="5">
        <f>A871</f>
        <v>4</v>
      </c>
      <c r="B875" s="5"/>
      <c r="C875" s="6">
        <f>C871+1</f>
        <v>15</v>
      </c>
      <c r="D875" s="72" t="s">
        <v>254</v>
      </c>
      <c r="E875" s="73"/>
      <c r="F875" s="73"/>
      <c r="G875" s="74"/>
      <c r="I875" s="15"/>
      <c r="J875" s="15"/>
      <c r="K875" s="15"/>
      <c r="L875" s="15" t="str">
        <f>"PulsePort("&amp;ClockComChannel&amp;",10000)"</f>
        <v>PulsePort(1,10000)</v>
      </c>
      <c r="M875" s="15"/>
      <c r="N875" s="15"/>
      <c r="O875" s="15"/>
    </row>
    <row r="876" spans="1:15" x14ac:dyDescent="0.25">
      <c r="I876" s="15"/>
      <c r="J876" s="15"/>
      <c r="K876" s="15"/>
      <c r="L876" s="15"/>
      <c r="M876" s="17" t="str">
        <f>"'108 Temperature Probe measurement 'T108_C.  Therm108(Dest,Reps,SEChan,VxChan,Settlingtime,Integration,Multiplier,Offset)"</f>
        <v>'108 Temperature Probe measurement 'T108_C.  Therm108(Dest,Reps,SEChan,VxChan,Settlingtime,Integration,Multiplier,Offset)</v>
      </c>
      <c r="N876" s="15"/>
      <c r="O876" s="15"/>
    </row>
    <row r="877" spans="1:15" x14ac:dyDescent="0.25">
      <c r="A877" t="s">
        <v>198</v>
      </c>
      <c r="B877">
        <f>C875</f>
        <v>15</v>
      </c>
      <c r="C877" t="s">
        <v>130</v>
      </c>
      <c r="D877">
        <f>VLOOKUP("MUXSEChannel",MUXChans,A875+1,FALSE)</f>
        <v>16</v>
      </c>
      <c r="E877" t="s">
        <v>46</v>
      </c>
      <c r="F877" t="str">
        <f>"VX"&amp;VLOOKUP("MUXVXChannel",MUXChannnels,A875+1,FALSE)</f>
        <v>VX1</v>
      </c>
      <c r="G877" t="s">
        <v>182</v>
      </c>
      <c r="I877" s="15"/>
      <c r="J877" s="15"/>
      <c r="K877" s="15"/>
      <c r="L877" s="15"/>
      <c r="M877" s="15" t="str">
        <f>CONCATENATE(A877,B877,C877,D877,E877,F877,G877)</f>
        <v>Therm108(SoilSurfTC(15),1,16,VX1,0,_60hz,1,0)</v>
      </c>
      <c r="N877" s="15"/>
      <c r="O877" s="15"/>
    </row>
    <row r="878" spans="1:15" ht="15.75" thickBot="1" x14ac:dyDescent="0.3">
      <c r="A878" s="1" t="s">
        <v>200</v>
      </c>
      <c r="B878" s="1" t="s">
        <v>253</v>
      </c>
      <c r="C878" s="1" t="s">
        <v>35</v>
      </c>
      <c r="D878" s="1"/>
      <c r="E878" s="1"/>
      <c r="F878" s="1"/>
      <c r="G878" s="1"/>
      <c r="I878" s="15"/>
      <c r="J878" s="15"/>
      <c r="K878" s="15"/>
      <c r="L878" s="17" t="str">
        <f>"'Switch on next AM416 Multiplexer channel.  PulsePort(DataLogger channel C#, Delay)"</f>
        <v>'Switch on next AM416 Multiplexer channel.  PulsePort(DataLogger channel C#, Delay)</v>
      </c>
      <c r="M878" s="15"/>
      <c r="N878" s="15"/>
      <c r="O878" s="15"/>
    </row>
    <row r="879" spans="1:15" ht="16.5" thickBot="1" x14ac:dyDescent="0.3">
      <c r="A879" s="5">
        <f>A875</f>
        <v>4</v>
      </c>
      <c r="B879" s="5"/>
      <c r="C879" s="6">
        <f>C875+1</f>
        <v>16</v>
      </c>
      <c r="D879" s="72" t="s">
        <v>254</v>
      </c>
      <c r="E879" s="73"/>
      <c r="F879" s="73"/>
      <c r="G879" s="74"/>
      <c r="I879" s="15"/>
      <c r="J879" s="15"/>
      <c r="K879" s="15"/>
      <c r="L879" s="15" t="str">
        <f>"PulsePort("&amp;ClockComChannel&amp;",10000)"</f>
        <v>PulsePort(1,10000)</v>
      </c>
      <c r="M879" s="15"/>
      <c r="N879" s="15"/>
      <c r="O879" s="15"/>
    </row>
    <row r="880" spans="1:15" x14ac:dyDescent="0.25">
      <c r="I880" s="15"/>
      <c r="J880" s="15"/>
      <c r="K880" s="15"/>
      <c r="L880" s="15"/>
      <c r="M880" s="17" t="str">
        <f>"'108 Temperature Probe measurement 'T108_C.  Therm108(Dest,Reps,SEChan,VxChan,Settlingtime,Integration,Multiplier,Offset)"</f>
        <v>'108 Temperature Probe measurement 'T108_C.  Therm108(Dest,Reps,SEChan,VxChan,Settlingtime,Integration,Multiplier,Offset)</v>
      </c>
      <c r="N880" s="15"/>
      <c r="O880" s="15"/>
    </row>
    <row r="881" spans="1:15" x14ac:dyDescent="0.25">
      <c r="A881" t="s">
        <v>198</v>
      </c>
      <c r="B881">
        <f>C879</f>
        <v>16</v>
      </c>
      <c r="C881" t="s">
        <v>130</v>
      </c>
      <c r="D881">
        <f>VLOOKUP("MUXSEChannel",MUXChans,A879+1,FALSE)</f>
        <v>16</v>
      </c>
      <c r="E881" t="s">
        <v>46</v>
      </c>
      <c r="F881" t="str">
        <f>"VX"&amp;VLOOKUP("MUXVXChannel",MUXChannnels,A879+1,FALSE)</f>
        <v>VX1</v>
      </c>
      <c r="G881" t="s">
        <v>182</v>
      </c>
      <c r="I881" s="15"/>
      <c r="J881" s="15"/>
      <c r="K881" s="15"/>
      <c r="L881" s="15"/>
      <c r="M881" s="15" t="str">
        <f>CONCATENATE(A881,B881,C881,D881,E881,F881,G881)</f>
        <v>Therm108(SoilSurfTC(16),1,16,VX1,0,_60hz,1,0)</v>
      </c>
      <c r="N881" s="15"/>
      <c r="O881" s="15"/>
    </row>
    <row r="882" spans="1:15" ht="15.75" thickBot="1" x14ac:dyDescent="0.3">
      <c r="A882" s="1" t="s">
        <v>200</v>
      </c>
      <c r="B882" s="1" t="s">
        <v>253</v>
      </c>
      <c r="C882" s="1" t="s">
        <v>35</v>
      </c>
      <c r="D882" s="1"/>
      <c r="E882" s="1"/>
      <c r="F882" s="1"/>
      <c r="G882" s="1"/>
      <c r="I882" s="15"/>
      <c r="J882" s="15"/>
      <c r="K882" s="15"/>
      <c r="L882" s="17" t="str">
        <f>"'Switch on next AM416 Multiplexer channel.  PulsePort(DataLogger channel C#, Delay)"</f>
        <v>'Switch on next AM416 Multiplexer channel.  PulsePort(DataLogger channel C#, Delay)</v>
      </c>
      <c r="M882" s="15"/>
      <c r="N882" s="15"/>
      <c r="O882" s="15"/>
    </row>
    <row r="883" spans="1:15" ht="16.5" thickBot="1" x14ac:dyDescent="0.3">
      <c r="A883" s="5">
        <f>A879</f>
        <v>4</v>
      </c>
      <c r="B883" s="5"/>
      <c r="C883" s="6">
        <f>C879+1</f>
        <v>17</v>
      </c>
      <c r="D883" s="72" t="s">
        <v>254</v>
      </c>
      <c r="E883" s="73"/>
      <c r="F883" s="73"/>
      <c r="G883" s="74"/>
      <c r="I883" s="15"/>
      <c r="J883" s="15"/>
      <c r="K883" s="15"/>
      <c r="L883" s="15" t="str">
        <f>"PulsePort("&amp;ClockComChannel&amp;",10000)"</f>
        <v>PulsePort(1,10000)</v>
      </c>
      <c r="M883" s="15"/>
      <c r="N883" s="15"/>
      <c r="O883" s="15"/>
    </row>
    <row r="884" spans="1:15" x14ac:dyDescent="0.25">
      <c r="I884" s="15"/>
      <c r="J884" s="15"/>
      <c r="K884" s="15"/>
      <c r="L884" s="15"/>
      <c r="M884" s="17" t="str">
        <f>"'108 Temperature Probe measurement 'T108_C.  Therm108(Dest,Reps,SEChan,VxChan,Settlingtime,Integration,Multiplier,Offset)"</f>
        <v>'108 Temperature Probe measurement 'T108_C.  Therm108(Dest,Reps,SEChan,VxChan,Settlingtime,Integration,Multiplier,Offset)</v>
      </c>
      <c r="N884" s="15"/>
      <c r="O884" s="15"/>
    </row>
    <row r="885" spans="1:15" x14ac:dyDescent="0.25">
      <c r="A885" t="s">
        <v>198</v>
      </c>
      <c r="B885">
        <f>C883</f>
        <v>17</v>
      </c>
      <c r="C885" t="s">
        <v>130</v>
      </c>
      <c r="D885">
        <f>VLOOKUP("MUXSEChannel",MUXChans,A883+1,FALSE)</f>
        <v>16</v>
      </c>
      <c r="E885" t="s">
        <v>46</v>
      </c>
      <c r="F885" t="str">
        <f>"VX"&amp;VLOOKUP("MUXVXChannel",MUXChannnels,A883+1,FALSE)</f>
        <v>VX1</v>
      </c>
      <c r="G885" t="s">
        <v>182</v>
      </c>
      <c r="I885" s="15"/>
      <c r="J885" s="15"/>
      <c r="K885" s="15"/>
      <c r="L885" s="15"/>
      <c r="M885" s="15" t="str">
        <f>CONCATENATE(A885,B885,C885,D885,E885,F885,G885)</f>
        <v>Therm108(SoilSurfTC(17),1,16,VX1,0,_60hz,1,0)</v>
      </c>
      <c r="N885" s="15"/>
      <c r="O885" s="15"/>
    </row>
    <row r="886" spans="1:15" ht="15.75" thickBot="1" x14ac:dyDescent="0.3">
      <c r="A886" s="1" t="s">
        <v>200</v>
      </c>
      <c r="B886" s="1" t="s">
        <v>253</v>
      </c>
      <c r="C886" s="1" t="s">
        <v>35</v>
      </c>
      <c r="D886" s="1"/>
      <c r="E886" s="1"/>
      <c r="F886" s="1"/>
      <c r="G886" s="1"/>
      <c r="I886" s="15"/>
      <c r="J886" s="15"/>
      <c r="K886" s="15"/>
      <c r="L886" s="17" t="str">
        <f>"'Switch on next AM416 Multiplexer channel.  PulsePort(DataLogger channel C#, Delay)"</f>
        <v>'Switch on next AM416 Multiplexer channel.  PulsePort(DataLogger channel C#, Delay)</v>
      </c>
      <c r="M886" s="15"/>
      <c r="N886" s="15"/>
      <c r="O886" s="15"/>
    </row>
    <row r="887" spans="1:15" ht="16.5" thickBot="1" x14ac:dyDescent="0.3">
      <c r="A887" s="5">
        <f>A883</f>
        <v>4</v>
      </c>
      <c r="B887" s="5"/>
      <c r="C887" s="6">
        <f>C883+1</f>
        <v>18</v>
      </c>
      <c r="D887" s="72" t="s">
        <v>254</v>
      </c>
      <c r="E887" s="73"/>
      <c r="F887" s="73"/>
      <c r="G887" s="74"/>
      <c r="I887" s="15"/>
      <c r="J887" s="15"/>
      <c r="K887" s="15"/>
      <c r="L887" s="15" t="str">
        <f>"PulsePort("&amp;ClockComChannel&amp;",10000)"</f>
        <v>PulsePort(1,10000)</v>
      </c>
      <c r="M887" s="15"/>
      <c r="N887" s="15"/>
      <c r="O887" s="15"/>
    </row>
    <row r="888" spans="1:15" x14ac:dyDescent="0.25">
      <c r="I888" s="15"/>
      <c r="J888" s="15"/>
      <c r="K888" s="15"/>
      <c r="L888" s="15"/>
      <c r="M888" s="17" t="str">
        <f>"'108 Temperature Probe measurement 'T108_C.  Therm108(Dest,Reps,SEChan,VxChan,Settlingtime,Integration,Multiplier,Offset)"</f>
        <v>'108 Temperature Probe measurement 'T108_C.  Therm108(Dest,Reps,SEChan,VxChan,Settlingtime,Integration,Multiplier,Offset)</v>
      </c>
      <c r="N888" s="15"/>
      <c r="O888" s="15"/>
    </row>
    <row r="889" spans="1:15" x14ac:dyDescent="0.25">
      <c r="A889" t="s">
        <v>198</v>
      </c>
      <c r="B889">
        <f>C887</f>
        <v>18</v>
      </c>
      <c r="C889" t="s">
        <v>130</v>
      </c>
      <c r="D889">
        <f>VLOOKUP("MUXSEChannel",MUXChans,A887+1,FALSE)</f>
        <v>16</v>
      </c>
      <c r="E889" t="s">
        <v>46</v>
      </c>
      <c r="F889" t="str">
        <f>"VX"&amp;VLOOKUP("MUXVXChannel",MUXChannnels,A887+1,FALSE)</f>
        <v>VX1</v>
      </c>
      <c r="G889" t="s">
        <v>182</v>
      </c>
      <c r="I889" s="15"/>
      <c r="J889" s="15"/>
      <c r="K889" s="15"/>
      <c r="L889" s="15"/>
      <c r="M889" s="15" t="str">
        <f>CONCATENATE(A889,B889,C889,D889,E889,F889,G889)</f>
        <v>Therm108(SoilSurfTC(18),1,16,VX1,0,_60hz,1,0)</v>
      </c>
      <c r="N889" s="15"/>
      <c r="O889" s="15"/>
    </row>
    <row r="890" spans="1:15" ht="15.75" thickBot="1" x14ac:dyDescent="0.3">
      <c r="A890" s="1" t="s">
        <v>200</v>
      </c>
      <c r="B890" s="1" t="s">
        <v>253</v>
      </c>
      <c r="C890" s="1" t="s">
        <v>35</v>
      </c>
      <c r="D890" s="1"/>
      <c r="E890" s="1"/>
      <c r="F890" s="1"/>
      <c r="G890" s="1"/>
      <c r="I890" s="15"/>
      <c r="J890" s="15"/>
      <c r="K890" s="15"/>
      <c r="L890" s="17" t="str">
        <f>"'Switch on next AM416 Multiplexer channel.  PulsePort(DataLogger channel C#, Delay)"</f>
        <v>'Switch on next AM416 Multiplexer channel.  PulsePort(DataLogger channel C#, Delay)</v>
      </c>
      <c r="M890" s="15"/>
      <c r="N890" s="15"/>
      <c r="O890" s="15"/>
    </row>
    <row r="891" spans="1:15" ht="16.5" thickBot="1" x14ac:dyDescent="0.3">
      <c r="A891" s="5">
        <f>A887</f>
        <v>4</v>
      </c>
      <c r="B891" s="5"/>
      <c r="C891" s="6">
        <f>C887+1</f>
        <v>19</v>
      </c>
      <c r="D891" s="72" t="s">
        <v>254</v>
      </c>
      <c r="E891" s="73"/>
      <c r="F891" s="73"/>
      <c r="G891" s="74"/>
      <c r="I891" s="15"/>
      <c r="J891" s="15"/>
      <c r="K891" s="15"/>
      <c r="L891" s="15" t="str">
        <f>"PulsePort("&amp;ClockComChannel&amp;",10000)"</f>
        <v>PulsePort(1,10000)</v>
      </c>
      <c r="M891" s="15"/>
      <c r="N891" s="15"/>
      <c r="O891" s="15"/>
    </row>
    <row r="892" spans="1:15" x14ac:dyDescent="0.25">
      <c r="I892" s="15"/>
      <c r="J892" s="15"/>
      <c r="K892" s="15"/>
      <c r="L892" s="15"/>
      <c r="M892" s="17" t="str">
        <f>"'108 Temperature Probe measurement 'T108_C.  Therm108(Dest,Reps,SEChan,VxChan,Settlingtime,Integration,Multiplier,Offset)"</f>
        <v>'108 Temperature Probe measurement 'T108_C.  Therm108(Dest,Reps,SEChan,VxChan,Settlingtime,Integration,Multiplier,Offset)</v>
      </c>
      <c r="N892" s="15"/>
      <c r="O892" s="15"/>
    </row>
    <row r="893" spans="1:15" x14ac:dyDescent="0.25">
      <c r="A893" t="s">
        <v>198</v>
      </c>
      <c r="B893">
        <f>C891</f>
        <v>19</v>
      </c>
      <c r="C893" t="s">
        <v>130</v>
      </c>
      <c r="D893">
        <f>VLOOKUP("MUXSEChannel",MUXChans,A891+1,FALSE)</f>
        <v>16</v>
      </c>
      <c r="E893" t="s">
        <v>46</v>
      </c>
      <c r="F893" t="str">
        <f>"VX"&amp;VLOOKUP("MUXVXChannel",MUXChannnels,A891+1,FALSE)</f>
        <v>VX1</v>
      </c>
      <c r="G893" t="s">
        <v>182</v>
      </c>
      <c r="I893" s="15"/>
      <c r="J893" s="15"/>
      <c r="K893" s="15"/>
      <c r="L893" s="15"/>
      <c r="M893" s="15" t="str">
        <f>CONCATENATE(A893,B893,C893,D893,E893,F893,G893)</f>
        <v>Therm108(SoilSurfTC(19),1,16,VX1,0,_60hz,1,0)</v>
      </c>
      <c r="N893" s="15"/>
      <c r="O893" s="15"/>
    </row>
    <row r="894" spans="1:15" ht="15.75" thickBot="1" x14ac:dyDescent="0.3">
      <c r="A894" s="1" t="s">
        <v>200</v>
      </c>
      <c r="B894" s="1" t="s">
        <v>253</v>
      </c>
      <c r="C894" s="1" t="s">
        <v>35</v>
      </c>
      <c r="D894" s="1"/>
      <c r="E894" s="1"/>
      <c r="F894" s="1"/>
      <c r="G894" s="1"/>
      <c r="I894" s="15"/>
      <c r="J894" s="15"/>
      <c r="K894" s="15"/>
      <c r="L894" s="17" t="str">
        <f>"'Switch on next AM416 Multiplexer channel.  PulsePort(DataLogger channel C#, Delay)"</f>
        <v>'Switch on next AM416 Multiplexer channel.  PulsePort(DataLogger channel C#, Delay)</v>
      </c>
      <c r="M894" s="15"/>
      <c r="N894" s="15"/>
      <c r="O894" s="15"/>
    </row>
    <row r="895" spans="1:15" ht="16.5" thickBot="1" x14ac:dyDescent="0.3">
      <c r="A895" s="5">
        <f>A891</f>
        <v>4</v>
      </c>
      <c r="B895" s="5"/>
      <c r="C895" s="6">
        <f>C891+1</f>
        <v>20</v>
      </c>
      <c r="D895" s="72" t="s">
        <v>254</v>
      </c>
      <c r="E895" s="73"/>
      <c r="F895" s="73"/>
      <c r="G895" s="74"/>
      <c r="I895" s="15"/>
      <c r="J895" s="15"/>
      <c r="K895" s="15"/>
      <c r="L895" s="15" t="str">
        <f>"PulsePort("&amp;ClockComChannel&amp;",10000)"</f>
        <v>PulsePort(1,10000)</v>
      </c>
      <c r="M895" s="15"/>
      <c r="N895" s="15"/>
      <c r="O895" s="15"/>
    </row>
    <row r="896" spans="1:15" x14ac:dyDescent="0.25">
      <c r="I896" s="15"/>
      <c r="J896" s="15"/>
      <c r="K896" s="15"/>
      <c r="L896" s="15"/>
      <c r="M896" s="17" t="str">
        <f>"'108 Temperature Probe measurement 'T108_C.  Therm108(Dest,Reps,SEChan,VxChan,Settlingtime,Integration,Multiplier,Offset)"</f>
        <v>'108 Temperature Probe measurement 'T108_C.  Therm108(Dest,Reps,SEChan,VxChan,Settlingtime,Integration,Multiplier,Offset)</v>
      </c>
      <c r="N896" s="15"/>
      <c r="O896" s="15"/>
    </row>
    <row r="897" spans="1:15" x14ac:dyDescent="0.25">
      <c r="A897" t="s">
        <v>198</v>
      </c>
      <c r="B897">
        <f>C895</f>
        <v>20</v>
      </c>
      <c r="C897" t="s">
        <v>130</v>
      </c>
      <c r="D897">
        <f>VLOOKUP("MUXSEChannel",MUXChans,A895+1,FALSE)</f>
        <v>16</v>
      </c>
      <c r="E897" t="s">
        <v>46</v>
      </c>
      <c r="F897" t="str">
        <f>"VX"&amp;VLOOKUP("MUXVXChannel",MUXChannnels,A895+1,FALSE)</f>
        <v>VX1</v>
      </c>
      <c r="G897" t="s">
        <v>182</v>
      </c>
      <c r="I897" s="15"/>
      <c r="J897" s="15"/>
      <c r="K897" s="15"/>
      <c r="L897" s="15"/>
      <c r="M897" s="15" t="str">
        <f>CONCATENATE(A897,B897,C897,D897,E897,F897,G897)</f>
        <v>Therm108(SoilSurfTC(20),1,16,VX1,0,_60hz,1,0)</v>
      </c>
      <c r="N897" s="15"/>
      <c r="O897" s="15"/>
    </row>
    <row r="898" spans="1:15" ht="15.75" thickBot="1" x14ac:dyDescent="0.3">
      <c r="A898" s="1" t="s">
        <v>200</v>
      </c>
      <c r="B898" s="1" t="s">
        <v>253</v>
      </c>
      <c r="C898" s="1" t="s">
        <v>35</v>
      </c>
      <c r="D898" s="1"/>
      <c r="E898" s="1"/>
      <c r="F898" s="1"/>
      <c r="G898" s="1"/>
      <c r="I898" s="15"/>
      <c r="J898" s="15"/>
      <c r="K898" s="15"/>
      <c r="L898" s="17" t="str">
        <f>"'Switch on next AM416 Multiplexer channel.  PulsePort(DataLogger channel C#, Delay)"</f>
        <v>'Switch on next AM416 Multiplexer channel.  PulsePort(DataLogger channel C#, Delay)</v>
      </c>
      <c r="M898" s="15"/>
      <c r="N898" s="15"/>
      <c r="O898" s="15"/>
    </row>
    <row r="899" spans="1:15" ht="16.5" thickBot="1" x14ac:dyDescent="0.3">
      <c r="A899" s="5">
        <f>A895</f>
        <v>4</v>
      </c>
      <c r="B899" s="5"/>
      <c r="C899" s="6">
        <f>C895+1</f>
        <v>21</v>
      </c>
      <c r="D899" s="72" t="s">
        <v>254</v>
      </c>
      <c r="E899" s="73"/>
      <c r="F899" s="73"/>
      <c r="G899" s="74"/>
      <c r="I899" s="15"/>
      <c r="J899" s="15"/>
      <c r="K899" s="15"/>
      <c r="L899" s="15" t="str">
        <f>"PulsePort("&amp;ClockComChannel&amp;",10000)"</f>
        <v>PulsePort(1,10000)</v>
      </c>
      <c r="M899" s="15"/>
      <c r="N899" s="15"/>
      <c r="O899" s="15"/>
    </row>
    <row r="900" spans="1:15" x14ac:dyDescent="0.25">
      <c r="I900" s="15"/>
      <c r="J900" s="15"/>
      <c r="K900" s="15"/>
      <c r="L900" s="15"/>
      <c r="M900" s="17" t="str">
        <f>"'108 Temperature Probe measurement 'T108_C.  Therm108(Dest,Reps,SEChan,VxChan,Settlingtime,Integration,Multiplier,Offset)"</f>
        <v>'108 Temperature Probe measurement 'T108_C.  Therm108(Dest,Reps,SEChan,VxChan,Settlingtime,Integration,Multiplier,Offset)</v>
      </c>
      <c r="N900" s="15"/>
      <c r="O900" s="15"/>
    </row>
    <row r="901" spans="1:15" x14ac:dyDescent="0.25">
      <c r="A901" t="s">
        <v>198</v>
      </c>
      <c r="B901">
        <f>C899</f>
        <v>21</v>
      </c>
      <c r="C901" t="s">
        <v>130</v>
      </c>
      <c r="D901">
        <f>VLOOKUP("MUXSEChannel",MUXChans,A899+1,FALSE)</f>
        <v>16</v>
      </c>
      <c r="E901" t="s">
        <v>46</v>
      </c>
      <c r="F901" t="str">
        <f>"VX"&amp;VLOOKUP("MUXVXChannel",MUXChannnels,A899+1,FALSE)</f>
        <v>VX1</v>
      </c>
      <c r="G901" t="s">
        <v>182</v>
      </c>
      <c r="I901" s="15"/>
      <c r="J901" s="15"/>
      <c r="K901" s="15"/>
      <c r="L901" s="15"/>
      <c r="M901" s="15" t="str">
        <f>CONCATENATE(A901,B901,C901,D901,E901,F901,G901)</f>
        <v>Therm108(SoilSurfTC(21),1,16,VX1,0,_60hz,1,0)</v>
      </c>
      <c r="N901" s="15"/>
      <c r="O901" s="15"/>
    </row>
    <row r="902" spans="1:15" ht="15.75" thickBot="1" x14ac:dyDescent="0.3">
      <c r="A902" s="1" t="s">
        <v>200</v>
      </c>
      <c r="B902" s="1" t="s">
        <v>253</v>
      </c>
      <c r="C902" s="1" t="s">
        <v>35</v>
      </c>
      <c r="D902" s="1"/>
      <c r="E902" s="1"/>
      <c r="F902" s="1"/>
      <c r="G902" s="1"/>
      <c r="I902" s="15"/>
      <c r="J902" s="15"/>
      <c r="K902" s="15"/>
      <c r="L902" s="17" t="str">
        <f>"'Switch on next AM416 Multiplexer channel.  PulsePort(DataLogger channel C#, Delay)"</f>
        <v>'Switch on next AM416 Multiplexer channel.  PulsePort(DataLogger channel C#, Delay)</v>
      </c>
      <c r="M902" s="15"/>
      <c r="N902" s="15"/>
      <c r="O902" s="15"/>
    </row>
    <row r="903" spans="1:15" ht="16.5" thickBot="1" x14ac:dyDescent="0.3">
      <c r="A903" s="5">
        <f>A899</f>
        <v>4</v>
      </c>
      <c r="B903" s="5"/>
      <c r="C903" s="6">
        <f>C899+1</f>
        <v>22</v>
      </c>
      <c r="D903" s="72" t="s">
        <v>254</v>
      </c>
      <c r="E903" s="73"/>
      <c r="F903" s="73"/>
      <c r="G903" s="74"/>
      <c r="I903" s="15"/>
      <c r="J903" s="15"/>
      <c r="K903" s="15"/>
      <c r="L903" s="15" t="str">
        <f>"PulsePort("&amp;ClockComChannel&amp;",10000)"</f>
        <v>PulsePort(1,10000)</v>
      </c>
      <c r="M903" s="15"/>
      <c r="N903" s="15"/>
      <c r="O903" s="15"/>
    </row>
    <row r="904" spans="1:15" x14ac:dyDescent="0.25">
      <c r="I904" s="15"/>
      <c r="J904" s="15"/>
      <c r="K904" s="15"/>
      <c r="L904" s="15"/>
      <c r="M904" s="17" t="str">
        <f>"'108 Temperature Probe measurement 'T108_C.  Therm108(Dest,Reps,SEChan,VxChan,Settlingtime,Integration,Multiplier,Offset)"</f>
        <v>'108 Temperature Probe measurement 'T108_C.  Therm108(Dest,Reps,SEChan,VxChan,Settlingtime,Integration,Multiplier,Offset)</v>
      </c>
      <c r="N904" s="15"/>
      <c r="O904" s="15"/>
    </row>
    <row r="905" spans="1:15" x14ac:dyDescent="0.25">
      <c r="A905" t="s">
        <v>198</v>
      </c>
      <c r="B905">
        <f>C903</f>
        <v>22</v>
      </c>
      <c r="C905" t="s">
        <v>130</v>
      </c>
      <c r="D905">
        <f>VLOOKUP("MUXSEChannel",MUXChans,A903+1,FALSE)</f>
        <v>16</v>
      </c>
      <c r="E905" t="s">
        <v>46</v>
      </c>
      <c r="F905" t="str">
        <f>"VX"&amp;VLOOKUP("MUXVXChannel",MUXChannnels,A903+1,FALSE)</f>
        <v>VX1</v>
      </c>
      <c r="G905" t="s">
        <v>182</v>
      </c>
      <c r="I905" s="15"/>
      <c r="J905" s="15"/>
      <c r="K905" s="15"/>
      <c r="L905" s="15"/>
      <c r="M905" s="15" t="str">
        <f>CONCATENATE(A905,B905,C905,D905,E905,F905,G905)</f>
        <v>Therm108(SoilSurfTC(22),1,16,VX1,0,_60hz,1,0)</v>
      </c>
      <c r="N905" s="15"/>
      <c r="O905" s="15"/>
    </row>
    <row r="906" spans="1:15" ht="15.75" thickBot="1" x14ac:dyDescent="0.3">
      <c r="A906" s="1" t="s">
        <v>200</v>
      </c>
      <c r="B906" s="1" t="s">
        <v>253</v>
      </c>
      <c r="C906" s="1" t="s">
        <v>35</v>
      </c>
      <c r="D906" s="1"/>
      <c r="E906" s="1"/>
      <c r="F906" s="1"/>
      <c r="G906" s="1"/>
      <c r="I906" s="15"/>
      <c r="J906" s="15"/>
      <c r="K906" s="15"/>
      <c r="L906" s="17" t="str">
        <f>"'Switch on next AM416 Multiplexer channel.  PulsePort(DataLogger channel C#, Delay)"</f>
        <v>'Switch on next AM416 Multiplexer channel.  PulsePort(DataLogger channel C#, Delay)</v>
      </c>
      <c r="M906" s="15"/>
      <c r="N906" s="15"/>
      <c r="O906" s="15"/>
    </row>
    <row r="907" spans="1:15" ht="16.5" thickBot="1" x14ac:dyDescent="0.3">
      <c r="A907" s="5">
        <f>A903</f>
        <v>4</v>
      </c>
      <c r="B907" s="5"/>
      <c r="C907" s="6">
        <f>C903+1</f>
        <v>23</v>
      </c>
      <c r="D907" s="72" t="s">
        <v>254</v>
      </c>
      <c r="E907" s="73"/>
      <c r="F907" s="73"/>
      <c r="G907" s="74"/>
      <c r="I907" s="15"/>
      <c r="J907" s="15"/>
      <c r="K907" s="15"/>
      <c r="L907" s="15" t="str">
        <f>"PulsePort("&amp;ClockComChannel&amp;",10000)"</f>
        <v>PulsePort(1,10000)</v>
      </c>
      <c r="M907" s="15"/>
      <c r="N907" s="15"/>
      <c r="O907" s="15"/>
    </row>
    <row r="908" spans="1:15" x14ac:dyDescent="0.25">
      <c r="I908" s="15"/>
      <c r="J908" s="15"/>
      <c r="K908" s="15"/>
      <c r="L908" s="15"/>
      <c r="M908" s="17" t="str">
        <f>"'108 Temperature Probe measurement 'T108_C.  Therm108(Dest,Reps,SEChan,VxChan,Settlingtime,Integration,Multiplier,Offset)"</f>
        <v>'108 Temperature Probe measurement 'T108_C.  Therm108(Dest,Reps,SEChan,VxChan,Settlingtime,Integration,Multiplier,Offset)</v>
      </c>
      <c r="N908" s="15"/>
      <c r="O908" s="15"/>
    </row>
    <row r="909" spans="1:15" x14ac:dyDescent="0.25">
      <c r="A909" t="s">
        <v>198</v>
      </c>
      <c r="B909">
        <f>C907</f>
        <v>23</v>
      </c>
      <c r="C909" t="s">
        <v>130</v>
      </c>
      <c r="D909">
        <f>VLOOKUP("MUXSEChannel",MUXChans,A907+1,FALSE)</f>
        <v>16</v>
      </c>
      <c r="E909" t="s">
        <v>46</v>
      </c>
      <c r="F909" t="str">
        <f>"VX"&amp;VLOOKUP("MUXVXChannel",MUXChannnels,A907+1,FALSE)</f>
        <v>VX1</v>
      </c>
      <c r="G909" t="s">
        <v>182</v>
      </c>
      <c r="I909" s="15"/>
      <c r="J909" s="15"/>
      <c r="K909" s="15"/>
      <c r="L909" s="15"/>
      <c r="M909" s="15" t="str">
        <f>CONCATENATE(A909,B909,C909,D909,E909,F909,G909)</f>
        <v>Therm108(SoilSurfTC(23),1,16,VX1,0,_60hz,1,0)</v>
      </c>
      <c r="N909" s="15"/>
      <c r="O909" s="15"/>
    </row>
    <row r="910" spans="1:15" ht="15.75" thickBot="1" x14ac:dyDescent="0.3">
      <c r="A910" s="1" t="s">
        <v>200</v>
      </c>
      <c r="B910" s="1" t="s">
        <v>253</v>
      </c>
      <c r="C910" s="1" t="s">
        <v>35</v>
      </c>
      <c r="D910" s="1"/>
      <c r="E910" s="1"/>
      <c r="F910" s="1"/>
      <c r="G910" s="1"/>
      <c r="I910" s="15"/>
      <c r="J910" s="15"/>
      <c r="K910" s="15"/>
      <c r="L910" s="17" t="str">
        <f>"'Switch on next AM416 Multiplexer channel.  PulsePort(DataLogger channel C#, Delay)"</f>
        <v>'Switch on next AM416 Multiplexer channel.  PulsePort(DataLogger channel C#, Delay)</v>
      </c>
      <c r="M910" s="15"/>
      <c r="N910" s="15"/>
      <c r="O910" s="15"/>
    </row>
    <row r="911" spans="1:15" ht="16.5" thickBot="1" x14ac:dyDescent="0.3">
      <c r="A911" s="5">
        <f>A907</f>
        <v>4</v>
      </c>
      <c r="B911" s="5"/>
      <c r="C911" s="6">
        <f>C907+1</f>
        <v>24</v>
      </c>
      <c r="D911" s="72" t="s">
        <v>254</v>
      </c>
      <c r="E911" s="73"/>
      <c r="F911" s="73"/>
      <c r="G911" s="74"/>
      <c r="I911" s="15"/>
      <c r="J911" s="15"/>
      <c r="K911" s="15"/>
      <c r="L911" s="15" t="str">
        <f>"PulsePort("&amp;ClockComChannel&amp;",10000)"</f>
        <v>PulsePort(1,10000)</v>
      </c>
      <c r="M911" s="15"/>
      <c r="N911" s="15"/>
      <c r="O911" s="15"/>
    </row>
    <row r="912" spans="1:15" x14ac:dyDescent="0.25">
      <c r="I912" s="15"/>
      <c r="J912" s="15"/>
      <c r="K912" s="15"/>
      <c r="L912" s="15"/>
      <c r="M912" s="17" t="str">
        <f>"'port not working, skip"</f>
        <v>'port not working, skip</v>
      </c>
      <c r="N912" s="15"/>
      <c r="O912" s="15"/>
    </row>
    <row r="913" spans="1:15" x14ac:dyDescent="0.25">
      <c r="I913" s="15"/>
      <c r="J913" s="15"/>
      <c r="K913" s="15"/>
      <c r="L913" s="15"/>
      <c r="M913" s="15"/>
      <c r="N913" s="15"/>
      <c r="O913" s="15"/>
    </row>
    <row r="914" spans="1:15" ht="15.75" thickBot="1" x14ac:dyDescent="0.3">
      <c r="A914" s="1" t="s">
        <v>200</v>
      </c>
      <c r="B914" s="1" t="s">
        <v>253</v>
      </c>
      <c r="C914" s="1" t="s">
        <v>35</v>
      </c>
      <c r="D914" s="1"/>
      <c r="E914" s="1"/>
      <c r="F914" s="1"/>
      <c r="G914" s="1"/>
      <c r="I914" s="15"/>
      <c r="J914" s="15"/>
      <c r="K914" s="15"/>
      <c r="L914" s="17" t="str">
        <f>"'Switch on next AM416 Multiplexer channel.  PulsePort(DataLogger channel C#, Delay)"</f>
        <v>'Switch on next AM416 Multiplexer channel.  PulsePort(DataLogger channel C#, Delay)</v>
      </c>
      <c r="M914" s="15"/>
      <c r="N914" s="15"/>
      <c r="O914" s="15"/>
    </row>
    <row r="915" spans="1:15" ht="16.5" thickBot="1" x14ac:dyDescent="0.3">
      <c r="A915" s="5">
        <f>A911</f>
        <v>4</v>
      </c>
      <c r="B915" s="5"/>
      <c r="C915" s="6">
        <v>9</v>
      </c>
      <c r="D915" s="69" t="s">
        <v>255</v>
      </c>
      <c r="E915" s="70"/>
      <c r="F915" s="70"/>
      <c r="G915" s="71"/>
      <c r="I915" s="15"/>
      <c r="J915" s="15"/>
      <c r="K915" s="15"/>
      <c r="L915" s="15" t="str">
        <f>"PulsePort("&amp;ClockComChannel&amp;",10000)"</f>
        <v>PulsePort(1,10000)</v>
      </c>
      <c r="M915" s="15"/>
      <c r="N915" s="15"/>
      <c r="O915" s="15"/>
    </row>
    <row r="916" spans="1:15" x14ac:dyDescent="0.25">
      <c r="I916" s="15"/>
      <c r="J916" s="15"/>
      <c r="K916" s="15"/>
      <c r="L916" s="15"/>
      <c r="M916" s="17" t="str">
        <f>"'HFP01 Heat Flux Plates"</f>
        <v>'HFP01 Heat Flux Plates</v>
      </c>
      <c r="N916" s="15"/>
      <c r="O916" s="15"/>
    </row>
    <row r="917" spans="1:15" x14ac:dyDescent="0.25">
      <c r="I917" s="15"/>
      <c r="J917" s="15"/>
      <c r="K917" s="15"/>
      <c r="L917" s="15"/>
      <c r="M917" s="15" t="str">
        <f>"'Measure heat flux.  VoltSe (Dest, Reps, Range, SEChan, MeasOfs, SettlingTime, Integ, Mult, Offset)"</f>
        <v>'Measure heat flux.  VoltSe (Dest, Reps, Range, SEChan, MeasOfs, SettlingTime, Integ, Mult, Offset)</v>
      </c>
      <c r="N917" s="15"/>
      <c r="O917" s="15"/>
    </row>
    <row r="918" spans="1:15" ht="15.75" thickBot="1" x14ac:dyDescent="0.3">
      <c r="A918" t="s">
        <v>189</v>
      </c>
      <c r="B918">
        <f>C915</f>
        <v>9</v>
      </c>
      <c r="C918" t="s">
        <v>209</v>
      </c>
      <c r="D918">
        <f>VLOOKUP("MUXSEChannel",MUXChans,A915+1,FALSE)</f>
        <v>16</v>
      </c>
      <c r="E918" t="s">
        <v>210</v>
      </c>
      <c r="F918">
        <f>ROUND(VLOOKUP(C915,FluxPlateCalibrations,6,FALSE),2)</f>
        <v>16.440000000000001</v>
      </c>
      <c r="G918" t="s">
        <v>48</v>
      </c>
      <c r="I918" s="15"/>
      <c r="J918" s="15"/>
      <c r="K918" s="15"/>
      <c r="L918" s="15"/>
      <c r="M918" s="15" t="str">
        <f>CONCATENATE(A918,B918,C918,D918,E918,F918,G918)</f>
        <v>VoltSe (HeatFlux(9),1,MV7_5,16,0,0,_60Hz,16.44,0)</v>
      </c>
      <c r="N918" s="15"/>
      <c r="O918" s="15"/>
    </row>
    <row r="919" spans="1:15" ht="16.5" thickBot="1" x14ac:dyDescent="0.3">
      <c r="A919" s="5">
        <f>A915</f>
        <v>4</v>
      </c>
      <c r="B919" s="5"/>
      <c r="C919" s="6">
        <f>C915+1</f>
        <v>10</v>
      </c>
      <c r="D919" s="69" t="s">
        <v>255</v>
      </c>
      <c r="E919" s="70"/>
      <c r="F919" s="70"/>
      <c r="G919" s="71"/>
      <c r="I919" s="15"/>
      <c r="J919" s="15"/>
      <c r="K919" s="15"/>
      <c r="L919" s="15" t="str">
        <f>"PulsePort("&amp;ClockComChannel&amp;",10000)"</f>
        <v>PulsePort(1,10000)</v>
      </c>
      <c r="M919" s="15"/>
      <c r="N919" s="15"/>
      <c r="O919" s="15"/>
    </row>
    <row r="920" spans="1:15" x14ac:dyDescent="0.25">
      <c r="I920" s="15"/>
      <c r="J920" s="15"/>
      <c r="K920" s="15"/>
      <c r="L920" s="15"/>
      <c r="M920" s="17" t="str">
        <f>"'HFP01 Heat Flux Plates"</f>
        <v>'HFP01 Heat Flux Plates</v>
      </c>
      <c r="N920" s="15"/>
      <c r="O920" s="15"/>
    </row>
    <row r="921" spans="1:15" x14ac:dyDescent="0.25">
      <c r="I921" s="15"/>
      <c r="J921" s="15"/>
      <c r="K921" s="15"/>
      <c r="L921" s="15"/>
      <c r="M921" s="15" t="str">
        <f>"'Measure heat flux.  VoltSe (Dest, Reps, Range, SEChan, MeasOfs, SettlingTime, Integ, Mult, Offset)"</f>
        <v>'Measure heat flux.  VoltSe (Dest, Reps, Range, SEChan, MeasOfs, SettlingTime, Integ, Mult, Offset)</v>
      </c>
      <c r="N921" s="15"/>
      <c r="O921" s="15"/>
    </row>
    <row r="922" spans="1:15" ht="15.75" thickBot="1" x14ac:dyDescent="0.3">
      <c r="A922" t="s">
        <v>189</v>
      </c>
      <c r="B922">
        <f>C919</f>
        <v>10</v>
      </c>
      <c r="C922" t="s">
        <v>209</v>
      </c>
      <c r="D922">
        <f>VLOOKUP("MUXSEChannel",MUXChans,A919+1,FALSE)</f>
        <v>16</v>
      </c>
      <c r="E922" t="s">
        <v>210</v>
      </c>
      <c r="F922">
        <f>ROUND(VLOOKUP(C919,FluxPlateCalibrations,6,FALSE),2)</f>
        <v>15.89</v>
      </c>
      <c r="G922" t="s">
        <v>48</v>
      </c>
      <c r="I922" s="15"/>
      <c r="J922" s="15"/>
      <c r="K922" s="15"/>
      <c r="L922" s="15"/>
      <c r="M922" s="15" t="str">
        <f>CONCATENATE(A922,B922,C922,D922,E922,F922,G922)</f>
        <v>VoltSe (HeatFlux(10),1,MV7_5,16,0,0,_60Hz,15.89,0)</v>
      </c>
      <c r="N922" s="15"/>
      <c r="O922" s="15"/>
    </row>
    <row r="923" spans="1:15" ht="16.5" thickBot="1" x14ac:dyDescent="0.3">
      <c r="A923" s="5">
        <f>A919</f>
        <v>4</v>
      </c>
      <c r="B923" s="5"/>
      <c r="C923" s="6">
        <f>C919+1</f>
        <v>11</v>
      </c>
      <c r="D923" s="69" t="s">
        <v>255</v>
      </c>
      <c r="E923" s="70"/>
      <c r="F923" s="70"/>
      <c r="G923" s="71"/>
      <c r="I923" s="15"/>
      <c r="J923" s="15"/>
      <c r="K923" s="15"/>
      <c r="L923" s="15" t="str">
        <f>"PulsePort("&amp;ClockComChannel&amp;",10000)"</f>
        <v>PulsePort(1,10000)</v>
      </c>
      <c r="M923" s="15"/>
      <c r="N923" s="15"/>
      <c r="O923" s="15"/>
    </row>
    <row r="924" spans="1:15" x14ac:dyDescent="0.25">
      <c r="I924" s="15"/>
      <c r="J924" s="15"/>
      <c r="K924" s="15"/>
      <c r="L924" s="15"/>
      <c r="M924" s="17" t="str">
        <f>"'HFP01 Heat Flux Plates"</f>
        <v>'HFP01 Heat Flux Plates</v>
      </c>
      <c r="N924" s="15"/>
      <c r="O924" s="15"/>
    </row>
    <row r="925" spans="1:15" x14ac:dyDescent="0.25">
      <c r="I925" s="15"/>
      <c r="J925" s="15"/>
      <c r="K925" s="15"/>
      <c r="L925" s="15"/>
      <c r="M925" s="15" t="str">
        <f>"'Measure heat flux.  VoltSe (Dest, Reps, Range, SEChan, MeasOfs, SettlingTime, Integ, Mult, Offset)"</f>
        <v>'Measure heat flux.  VoltSe (Dest, Reps, Range, SEChan, MeasOfs, SettlingTime, Integ, Mult, Offset)</v>
      </c>
      <c r="N925" s="15"/>
      <c r="O925" s="15"/>
    </row>
    <row r="926" spans="1:15" ht="15.75" thickBot="1" x14ac:dyDescent="0.3">
      <c r="A926" t="s">
        <v>189</v>
      </c>
      <c r="B926">
        <f>C923</f>
        <v>11</v>
      </c>
      <c r="C926" t="s">
        <v>209</v>
      </c>
      <c r="D926">
        <f>VLOOKUP("MUXSEChannel",MUXChans,A923+1,FALSE)</f>
        <v>16</v>
      </c>
      <c r="E926" t="s">
        <v>210</v>
      </c>
      <c r="F926">
        <f>ROUND(VLOOKUP(C923,FluxPlateCalibrations,6,FALSE),2)</f>
        <v>16.059999999999999</v>
      </c>
      <c r="G926" t="s">
        <v>48</v>
      </c>
      <c r="I926" s="15"/>
      <c r="J926" s="15"/>
      <c r="K926" s="15"/>
      <c r="L926" s="15"/>
      <c r="M926" s="15" t="str">
        <f>CONCATENATE(A926,B926,C926,D926,E926,F926,G926)</f>
        <v>VoltSe (HeatFlux(11),1,MV7_5,16,0,0,_60Hz,16.06,0)</v>
      </c>
      <c r="N926" s="15"/>
      <c r="O926" s="15"/>
    </row>
    <row r="927" spans="1:15" ht="16.5" thickBot="1" x14ac:dyDescent="0.3">
      <c r="A927" s="5">
        <f>A923</f>
        <v>4</v>
      </c>
      <c r="B927" s="5"/>
      <c r="C927" s="6">
        <f>C923+1</f>
        <v>12</v>
      </c>
      <c r="D927" s="69" t="s">
        <v>255</v>
      </c>
      <c r="E927" s="70"/>
      <c r="F927" s="70"/>
      <c r="G927" s="71"/>
      <c r="I927" s="15"/>
      <c r="J927" s="15"/>
      <c r="K927" s="15"/>
      <c r="L927" s="15" t="str">
        <f>"PulsePort("&amp;ClockComChannel&amp;",10000)"</f>
        <v>PulsePort(1,10000)</v>
      </c>
      <c r="M927" s="15"/>
      <c r="N927" s="15"/>
      <c r="O927" s="15"/>
    </row>
    <row r="928" spans="1:15" x14ac:dyDescent="0.25">
      <c r="I928" s="15"/>
      <c r="J928" s="15"/>
      <c r="K928" s="15"/>
      <c r="L928" s="15"/>
      <c r="M928" s="17" t="str">
        <f>"'HFP01 Heat Flux Plates"</f>
        <v>'HFP01 Heat Flux Plates</v>
      </c>
      <c r="N928" s="15"/>
      <c r="O928" s="15"/>
    </row>
    <row r="929" spans="1:15" x14ac:dyDescent="0.25">
      <c r="I929" s="15"/>
      <c r="J929" s="15"/>
      <c r="K929" s="15"/>
      <c r="L929" s="15"/>
      <c r="M929" s="15" t="str">
        <f>"'Measure heat flux.  VoltSe (Dest, Reps, Range, SEChan, MeasOfs, SettlingTime, Integ, Mult, Offset)"</f>
        <v>'Measure heat flux.  VoltSe (Dest, Reps, Range, SEChan, MeasOfs, SettlingTime, Integ, Mult, Offset)</v>
      </c>
      <c r="N929" s="15"/>
      <c r="O929" s="15"/>
    </row>
    <row r="930" spans="1:15" x14ac:dyDescent="0.25">
      <c r="A930" t="s">
        <v>189</v>
      </c>
      <c r="B930">
        <f>C927</f>
        <v>12</v>
      </c>
      <c r="C930" t="s">
        <v>209</v>
      </c>
      <c r="D930">
        <f>VLOOKUP("MUXSEChannel",MUXChans,A927+1,FALSE)</f>
        <v>16</v>
      </c>
      <c r="E930" t="s">
        <v>210</v>
      </c>
      <c r="F930">
        <f>ROUND(VLOOKUP(C927,FluxPlateCalibrations,6,FALSE),2)</f>
        <v>16.87</v>
      </c>
      <c r="G930" t="s">
        <v>48</v>
      </c>
      <c r="I930" s="15"/>
      <c r="J930" s="15"/>
      <c r="K930" s="15"/>
      <c r="L930" s="15"/>
      <c r="M930" s="15" t="str">
        <f>CONCATENATE(A930,B930,C930,D930,E930,F930,G930)</f>
        <v>VoltSe (HeatFlux(12),1,MV7_5,16,0,0,_60Hz,16.87,0)</v>
      </c>
      <c r="N930" s="15"/>
      <c r="O930" s="15"/>
    </row>
    <row r="931" spans="1:15" x14ac:dyDescent="0.25">
      <c r="A931" s="16"/>
      <c r="B931" s="16"/>
      <c r="C931" s="16"/>
      <c r="D931" s="16"/>
      <c r="E931" s="16"/>
      <c r="F931" s="16"/>
      <c r="G931" s="16"/>
      <c r="I931" s="15"/>
      <c r="J931" s="15"/>
      <c r="K931" s="17" t="str">
        <f>"'Turn AM16/32 Multiplexer Off.  PortSet(DataLogger channel C#, State 0=off and reset)"</f>
        <v>'Turn AM16/32 Multiplexer Off.  PortSet(DataLogger channel C#, State 0=off and reset)</v>
      </c>
      <c r="L931" s="15"/>
      <c r="M931" s="15"/>
      <c r="N931" s="15"/>
      <c r="O931" s="15"/>
    </row>
    <row r="932" spans="1:15" x14ac:dyDescent="0.25">
      <c r="A932" s="3" t="s">
        <v>29</v>
      </c>
      <c r="B932" s="3">
        <f>VLOOKUP("MUXResComChannel",MUXChans,B815+1,FALSE)</f>
        <v>5</v>
      </c>
      <c r="C932" s="3" t="s">
        <v>48</v>
      </c>
      <c r="D932" s="16"/>
      <c r="E932" s="16"/>
      <c r="F932" s="16"/>
      <c r="G932" s="16"/>
      <c r="I932" s="15"/>
      <c r="J932" s="15"/>
      <c r="K932" s="15" t="str">
        <f>CONCATENATE(A932,B932,C932)</f>
        <v>PortSet(5,0)</v>
      </c>
      <c r="L932" s="15"/>
      <c r="M932" s="15"/>
      <c r="N932" s="15"/>
      <c r="O932" s="15"/>
    </row>
    <row r="933" spans="1:15" ht="15.75" thickBot="1" x14ac:dyDescent="0.3">
      <c r="A933" s="16"/>
      <c r="B933" s="16"/>
      <c r="C933" s="16"/>
      <c r="D933" s="16"/>
      <c r="E933" s="16"/>
      <c r="F933" s="16"/>
      <c r="G933" s="16"/>
      <c r="I933" s="15"/>
      <c r="J933" s="15"/>
      <c r="K933" s="15" t="s">
        <v>53</v>
      </c>
      <c r="L933" s="15"/>
      <c r="M933" s="15"/>
      <c r="N933" s="15"/>
      <c r="O933" s="15"/>
    </row>
    <row r="934" spans="1:15" ht="15.75" thickBot="1" x14ac:dyDescent="0.3">
      <c r="A934" s="5" t="s">
        <v>199</v>
      </c>
      <c r="B934" s="5">
        <v>5</v>
      </c>
      <c r="C934" s="78" t="s">
        <v>294</v>
      </c>
      <c r="D934" s="79"/>
      <c r="E934" s="79"/>
      <c r="F934" s="79"/>
      <c r="G934" s="80"/>
      <c r="I934" s="15"/>
      <c r="J934" s="15"/>
      <c r="K934" s="17" t="str">
        <f>"'Turn AM16/32 Multiplexer On.  PortSet(DataLogger com channel, State 1=on and can respond to clock pulses)"</f>
        <v>'Turn AM16/32 Multiplexer On.  PortSet(DataLogger com channel, State 1=on and can respond to clock pulses)</v>
      </c>
      <c r="L934" s="15"/>
      <c r="M934" s="15"/>
      <c r="N934" s="15"/>
      <c r="O934" s="15"/>
    </row>
    <row r="935" spans="1:15" x14ac:dyDescent="0.25">
      <c r="A935" s="3" t="s">
        <v>29</v>
      </c>
      <c r="B935">
        <f>VLOOKUP("MUXResComChannel",MUXChans,B934+1,FALSE)</f>
        <v>6</v>
      </c>
      <c r="C935" t="s">
        <v>30</v>
      </c>
      <c r="D935" s="16"/>
      <c r="E935" s="16"/>
      <c r="F935" s="16"/>
      <c r="G935" s="16"/>
      <c r="I935" s="15"/>
      <c r="J935" s="15"/>
      <c r="K935" s="15" t="str">
        <f>CONCATENATE(A935,B935,C935)</f>
        <v>PortSet(6,1)</v>
      </c>
      <c r="L935" s="15"/>
      <c r="M935" s="15"/>
      <c r="N935" s="15"/>
      <c r="O935" s="15"/>
    </row>
    <row r="936" spans="1:15" x14ac:dyDescent="0.25">
      <c r="A936" s="16"/>
      <c r="B936" s="16"/>
      <c r="C936" s="16"/>
      <c r="D936" s="16"/>
      <c r="E936" s="16"/>
      <c r="F936" s="16"/>
      <c r="G936" s="16"/>
      <c r="I936" s="15"/>
      <c r="J936" s="15"/>
      <c r="K936" s="15" t="s">
        <v>53</v>
      </c>
      <c r="L936" s="15"/>
      <c r="M936" s="15"/>
      <c r="N936" s="15"/>
      <c r="O936" s="15"/>
    </row>
    <row r="937" spans="1:15" ht="15.75" thickBot="1" x14ac:dyDescent="0.3">
      <c r="A937" s="1" t="s">
        <v>199</v>
      </c>
      <c r="B937" s="1" t="s">
        <v>253</v>
      </c>
      <c r="C937" s="1" t="s">
        <v>35</v>
      </c>
      <c r="D937" s="1"/>
      <c r="E937" s="1"/>
      <c r="F937" s="1"/>
      <c r="G937" s="1"/>
      <c r="I937" s="15"/>
      <c r="J937" s="15"/>
      <c r="K937" s="15"/>
      <c r="L937" s="17" t="str">
        <f>"'Switch on the first AM416 Multiplexer channel.  PulsePort(DataLogger channel C#, Delay)"</f>
        <v>'Switch on the first AM416 Multiplexer channel.  PulsePort(DataLogger channel C#, Delay)</v>
      </c>
      <c r="M937" s="15"/>
      <c r="N937" s="15"/>
      <c r="O937" s="15"/>
    </row>
    <row r="938" spans="1:15" ht="16.5" thickBot="1" x14ac:dyDescent="0.3">
      <c r="A938" s="5">
        <f>B934</f>
        <v>5</v>
      </c>
      <c r="B938" s="5"/>
      <c r="C938" s="6">
        <v>1</v>
      </c>
      <c r="D938" s="90" t="s">
        <v>247</v>
      </c>
      <c r="E938" s="91"/>
      <c r="F938" s="91"/>
      <c r="G938" s="92"/>
      <c r="I938" s="15"/>
      <c r="J938" s="15"/>
      <c r="K938" s="15"/>
      <c r="L938" s="15" t="str">
        <f>"PulsePort("&amp;ClockComChannel&amp;",10000)"</f>
        <v>PulsePort(1,10000)</v>
      </c>
      <c r="M938" s="15"/>
      <c r="N938" s="15"/>
      <c r="O938" s="15"/>
    </row>
    <row r="939" spans="1:15" x14ac:dyDescent="0.25">
      <c r="I939" s="15"/>
      <c r="J939" s="15"/>
      <c r="K939" s="15"/>
      <c r="L939" s="15"/>
      <c r="M939" s="17" t="str">
        <f>"'Measure Voltage Differential for Linear PAR sensor VoltDiff(Dest, Reps, Range, DiffChan, RevDiff, SettlingTime, Integ, Mult, Offset)"</f>
        <v>'Measure Voltage Differential for Linear PAR sensor VoltDiff(Dest, Reps, Range, DiffChan, RevDiff, SettlingTime, Integ, Mult, Offset)</v>
      </c>
      <c r="N939" s="15"/>
      <c r="O939" s="15"/>
    </row>
    <row r="940" spans="1:15" x14ac:dyDescent="0.25">
      <c r="A940" t="s">
        <v>248</v>
      </c>
      <c r="B940">
        <f>C938</f>
        <v>1</v>
      </c>
      <c r="C940" t="s">
        <v>249</v>
      </c>
      <c r="D940">
        <f>VLOOKUP("MUXDiffChannel",MUXChans,A938+1,FALSE)</f>
        <v>7</v>
      </c>
      <c r="E940" t="s">
        <v>282</v>
      </c>
      <c r="I940" s="15"/>
      <c r="J940" s="15"/>
      <c r="K940" s="15"/>
      <c r="L940" s="15"/>
      <c r="M940" s="15" t="str">
        <f>CONCATENATE(A940,B940,C940,D940,E940,F940,G940)</f>
        <v>VoltDiff(LinPAR(1),1,mV2500,7,True,0,_60Hz,33.3,0)</v>
      </c>
      <c r="N940" s="15"/>
      <c r="O940" s="15"/>
    </row>
    <row r="941" spans="1:15" ht="15.75" thickBot="1" x14ac:dyDescent="0.3">
      <c r="A941" s="1" t="s">
        <v>199</v>
      </c>
      <c r="B941" s="1" t="s">
        <v>253</v>
      </c>
      <c r="C941" s="1" t="s">
        <v>35</v>
      </c>
      <c r="D941" s="1"/>
      <c r="E941" s="1"/>
      <c r="F941" s="1"/>
      <c r="G941" s="1"/>
      <c r="I941" s="15"/>
      <c r="J941" s="15"/>
      <c r="K941" s="15"/>
      <c r="L941" s="17" t="str">
        <f>"'Switch on next AM416 Multiplexer channel.  PulsePort(DataLogger channel C#, Delay)"</f>
        <v>'Switch on next AM416 Multiplexer channel.  PulsePort(DataLogger channel C#, Delay)</v>
      </c>
      <c r="M941" s="15"/>
      <c r="N941" s="15"/>
      <c r="O941" s="15"/>
    </row>
    <row r="942" spans="1:15" ht="16.5" thickBot="1" x14ac:dyDescent="0.3">
      <c r="A942" s="5">
        <f>A938</f>
        <v>5</v>
      </c>
      <c r="B942" s="5"/>
      <c r="C942" s="6">
        <v>2</v>
      </c>
      <c r="D942" s="90" t="s">
        <v>247</v>
      </c>
      <c r="E942" s="91"/>
      <c r="F942" s="91"/>
      <c r="G942" s="92"/>
      <c r="I942" s="15"/>
      <c r="J942" s="15"/>
      <c r="K942" s="15"/>
      <c r="L942" s="15" t="str">
        <f>"PulsePort("&amp;ClockComChannel&amp;",10000)"</f>
        <v>PulsePort(1,10000)</v>
      </c>
      <c r="M942" s="15"/>
      <c r="N942" s="15"/>
      <c r="O942" s="15"/>
    </row>
    <row r="943" spans="1:15" x14ac:dyDescent="0.25">
      <c r="I943" s="15"/>
      <c r="J943" s="15"/>
      <c r="K943" s="15"/>
      <c r="L943" s="15"/>
      <c r="M943" s="17" t="str">
        <f>"'Measure Voltage Differential for Linear PAR sensor VoltDiff(Dest, Reps, Range, DiffChan, RevDiff, SettlingTime, Integ, Mult, Offset)"</f>
        <v>'Measure Voltage Differential for Linear PAR sensor VoltDiff(Dest, Reps, Range, DiffChan, RevDiff, SettlingTime, Integ, Mult, Offset)</v>
      </c>
      <c r="N943" s="15"/>
      <c r="O943" s="15"/>
    </row>
    <row r="944" spans="1:15" x14ac:dyDescent="0.25">
      <c r="A944" t="s">
        <v>248</v>
      </c>
      <c r="B944">
        <f>C942</f>
        <v>2</v>
      </c>
      <c r="C944" t="s">
        <v>249</v>
      </c>
      <c r="D944">
        <f>VLOOKUP("MUXDiffChannel",MUXChans,A942+1,FALSE)</f>
        <v>7</v>
      </c>
      <c r="E944" t="s">
        <v>282</v>
      </c>
      <c r="I944" s="15"/>
      <c r="J944" s="15"/>
      <c r="K944" s="15"/>
      <c r="L944" s="15"/>
      <c r="M944" s="15" t="str">
        <f>CONCATENATE(A944,B944,C944,D944,E944,F944,G944)</f>
        <v>VoltDiff(LinPAR(2),1,mV2500,7,True,0,_60Hz,33.3,0)</v>
      </c>
      <c r="N944" s="15"/>
      <c r="O944" s="15"/>
    </row>
    <row r="945" spans="1:15" ht="15.75" thickBot="1" x14ac:dyDescent="0.3">
      <c r="A945" s="1" t="s">
        <v>199</v>
      </c>
      <c r="B945" s="1" t="s">
        <v>253</v>
      </c>
      <c r="C945" s="1" t="s">
        <v>35</v>
      </c>
      <c r="D945" s="1"/>
      <c r="E945" s="1"/>
      <c r="F945" s="1"/>
      <c r="G945" s="1"/>
      <c r="I945" s="15"/>
      <c r="J945" s="15"/>
      <c r="K945" s="15"/>
      <c r="L945" s="17" t="str">
        <f>"'Switch on next AM416 Multiplexer channel.  PulsePort(DataLogger channel C#, Delay)"</f>
        <v>'Switch on next AM416 Multiplexer channel.  PulsePort(DataLogger channel C#, Delay)</v>
      </c>
      <c r="M945" s="15"/>
      <c r="N945" s="15"/>
      <c r="O945" s="15"/>
    </row>
    <row r="946" spans="1:15" ht="16.5" thickBot="1" x14ac:dyDescent="0.3">
      <c r="A946" s="5">
        <f>A942</f>
        <v>5</v>
      </c>
      <c r="B946" s="5"/>
      <c r="C946" s="6">
        <v>3</v>
      </c>
      <c r="D946" s="90" t="s">
        <v>247</v>
      </c>
      <c r="E946" s="91"/>
      <c r="F946" s="91"/>
      <c r="G946" s="92"/>
      <c r="I946" s="15"/>
      <c r="J946" s="15"/>
      <c r="K946" s="15"/>
      <c r="L946" s="15" t="str">
        <f>"PulsePort("&amp;ClockComChannel&amp;",10000)"</f>
        <v>PulsePort(1,10000)</v>
      </c>
      <c r="M946" s="15"/>
      <c r="N946" s="15"/>
      <c r="O946" s="15"/>
    </row>
    <row r="947" spans="1:15" x14ac:dyDescent="0.25">
      <c r="I947" s="15"/>
      <c r="J947" s="15"/>
      <c r="K947" s="15"/>
      <c r="L947" s="15"/>
      <c r="M947" s="17" t="str">
        <f>"'Measure Voltage Differential for Linear PAR sensor VoltDiff(Dest, Reps, Range, DiffChan, RevDiff, SettlingTime, Integ, Mult, Offset)"</f>
        <v>'Measure Voltage Differential for Linear PAR sensor VoltDiff(Dest, Reps, Range, DiffChan, RevDiff, SettlingTime, Integ, Mult, Offset)</v>
      </c>
      <c r="N947" s="15"/>
      <c r="O947" s="15"/>
    </row>
    <row r="948" spans="1:15" x14ac:dyDescent="0.25">
      <c r="A948" t="s">
        <v>248</v>
      </c>
      <c r="B948">
        <f>C946</f>
        <v>3</v>
      </c>
      <c r="C948" t="s">
        <v>249</v>
      </c>
      <c r="D948">
        <f>VLOOKUP("MUXDiffChannel",MUXChans,A946+1,FALSE)</f>
        <v>7</v>
      </c>
      <c r="E948" t="s">
        <v>282</v>
      </c>
      <c r="I948" s="15"/>
      <c r="J948" s="15"/>
      <c r="K948" s="15"/>
      <c r="L948" s="15"/>
      <c r="M948" s="15" t="str">
        <f>CONCATENATE(A948,B948,C948,D948,E948,F948,G948)</f>
        <v>VoltDiff(LinPAR(3),1,mV2500,7,True,0,_60Hz,33.3,0)</v>
      </c>
      <c r="N948" s="15"/>
      <c r="O948" s="15"/>
    </row>
    <row r="949" spans="1:15" ht="15.75" thickBot="1" x14ac:dyDescent="0.3">
      <c r="A949" s="1" t="s">
        <v>199</v>
      </c>
      <c r="B949" s="1" t="s">
        <v>253</v>
      </c>
      <c r="C949" s="1" t="s">
        <v>35</v>
      </c>
      <c r="D949" s="1"/>
      <c r="E949" s="1"/>
      <c r="F949" s="1"/>
      <c r="G949" s="1"/>
      <c r="I949" s="15"/>
      <c r="J949" s="15"/>
      <c r="K949" s="15"/>
      <c r="L949" s="17" t="str">
        <f>"'Switch on next AM416 Multiplexer channel.  PulsePort(DataLogger channel C#, Delay)"</f>
        <v>'Switch on next AM416 Multiplexer channel.  PulsePort(DataLogger channel C#, Delay)</v>
      </c>
      <c r="M949" s="15"/>
      <c r="N949" s="15"/>
      <c r="O949" s="15"/>
    </row>
    <row r="950" spans="1:15" ht="16.5" thickBot="1" x14ac:dyDescent="0.3">
      <c r="A950" s="5">
        <f>A946</f>
        <v>5</v>
      </c>
      <c r="B950" s="5"/>
      <c r="C950" s="6">
        <v>4</v>
      </c>
      <c r="D950" s="90" t="s">
        <v>247</v>
      </c>
      <c r="E950" s="91"/>
      <c r="F950" s="91"/>
      <c r="G950" s="92"/>
      <c r="I950" s="15"/>
      <c r="J950" s="15"/>
      <c r="K950" s="15"/>
      <c r="L950" s="15" t="str">
        <f>"PulsePort("&amp;ClockComChannel&amp;",10000)"</f>
        <v>PulsePort(1,10000)</v>
      </c>
      <c r="M950" s="15"/>
      <c r="N950" s="15"/>
      <c r="O950" s="15"/>
    </row>
    <row r="951" spans="1:15" x14ac:dyDescent="0.25">
      <c r="I951" s="15"/>
      <c r="J951" s="15"/>
      <c r="K951" s="15"/>
      <c r="L951" s="15"/>
      <c r="M951" s="17" t="str">
        <f>"'Measure Voltage Differential for Linear PAR sensor VoltDiff(Dest, Reps, Range, DiffChan, RevDiff, SettlingTime, Integ, Mult, Offset)"</f>
        <v>'Measure Voltage Differential for Linear PAR sensor VoltDiff(Dest, Reps, Range, DiffChan, RevDiff, SettlingTime, Integ, Mult, Offset)</v>
      </c>
      <c r="N951" s="15"/>
      <c r="O951" s="15"/>
    </row>
    <row r="952" spans="1:15" x14ac:dyDescent="0.25">
      <c r="A952" t="s">
        <v>248</v>
      </c>
      <c r="B952">
        <f>C950</f>
        <v>4</v>
      </c>
      <c r="C952" t="s">
        <v>249</v>
      </c>
      <c r="D952">
        <f>VLOOKUP("MUXDiffChannel",MUXChans,A950+1,FALSE)</f>
        <v>7</v>
      </c>
      <c r="E952" t="s">
        <v>282</v>
      </c>
      <c r="I952" s="15"/>
      <c r="J952" s="15"/>
      <c r="K952" s="15"/>
      <c r="L952" s="15"/>
      <c r="M952" s="15" t="str">
        <f>CONCATENATE(A952,B952,C952,D952,E952,F952,G952)</f>
        <v>VoltDiff(LinPAR(4),1,mV2500,7,True,0,_60Hz,33.3,0)</v>
      </c>
      <c r="N952" s="15"/>
      <c r="O952" s="15"/>
    </row>
    <row r="953" spans="1:15" ht="15.75" thickBot="1" x14ac:dyDescent="0.3">
      <c r="A953" s="1" t="s">
        <v>199</v>
      </c>
      <c r="B953" s="1" t="s">
        <v>253</v>
      </c>
      <c r="C953" s="1" t="s">
        <v>35</v>
      </c>
      <c r="D953" s="1"/>
      <c r="E953" s="1"/>
      <c r="F953" s="1"/>
      <c r="G953" s="1"/>
      <c r="I953" s="15"/>
      <c r="J953" s="15"/>
      <c r="K953" s="15"/>
      <c r="L953" s="17" t="str">
        <f>"'Switch on next AM416 Multiplexer channel.  PulsePort(DataLogger channel C#, Delay)"</f>
        <v>'Switch on next AM416 Multiplexer channel.  PulsePort(DataLogger channel C#, Delay)</v>
      </c>
      <c r="M953" s="15"/>
      <c r="N953" s="15"/>
      <c r="O953" s="15"/>
    </row>
    <row r="954" spans="1:15" ht="16.5" thickBot="1" x14ac:dyDescent="0.3">
      <c r="A954" s="5">
        <f>A950</f>
        <v>5</v>
      </c>
      <c r="B954" s="5"/>
      <c r="C954" s="6">
        <v>5</v>
      </c>
      <c r="D954" s="90" t="s">
        <v>247</v>
      </c>
      <c r="E954" s="91"/>
      <c r="F954" s="91"/>
      <c r="G954" s="92"/>
      <c r="I954" s="15"/>
      <c r="J954" s="15"/>
      <c r="K954" s="15"/>
      <c r="L954" s="15" t="str">
        <f>"PulsePort("&amp;ClockComChannel&amp;",10000)"</f>
        <v>PulsePort(1,10000)</v>
      </c>
      <c r="M954" s="15"/>
      <c r="N954" s="15"/>
      <c r="O954" s="15"/>
    </row>
    <row r="955" spans="1:15" x14ac:dyDescent="0.25">
      <c r="I955" s="15"/>
      <c r="J955" s="15"/>
      <c r="K955" s="15"/>
      <c r="L955" s="15"/>
      <c r="M955" s="17" t="str">
        <f>"'Measure Voltage Differential for Linear PAR sensor VoltDiff(Dest, Reps, Range, DiffChan, RevDiff, SettlingTime, Integ, Mult, Offset)"</f>
        <v>'Measure Voltage Differential for Linear PAR sensor VoltDiff(Dest, Reps, Range, DiffChan, RevDiff, SettlingTime, Integ, Mult, Offset)</v>
      </c>
      <c r="N955" s="15"/>
      <c r="O955" s="15"/>
    </row>
    <row r="956" spans="1:15" x14ac:dyDescent="0.25">
      <c r="A956" t="s">
        <v>248</v>
      </c>
      <c r="B956">
        <f>C954</f>
        <v>5</v>
      </c>
      <c r="C956" t="s">
        <v>249</v>
      </c>
      <c r="D956">
        <f>VLOOKUP("MUXDiffChannel",MUXChans,A954+1,FALSE)</f>
        <v>7</v>
      </c>
      <c r="E956" t="s">
        <v>282</v>
      </c>
      <c r="I956" s="15"/>
      <c r="J956" s="15"/>
      <c r="K956" s="15"/>
      <c r="L956" s="15"/>
      <c r="M956" s="15" t="str">
        <f>CONCATENATE(A956,B956,C956,D956,E956,F956,G956)</f>
        <v>VoltDiff(LinPAR(5),1,mV2500,7,True,0,_60Hz,33.3,0)</v>
      </c>
      <c r="N956" s="15"/>
      <c r="O956" s="15"/>
    </row>
    <row r="957" spans="1:15" ht="15.75" thickBot="1" x14ac:dyDescent="0.3">
      <c r="A957" s="1" t="s">
        <v>199</v>
      </c>
      <c r="B957" s="1" t="s">
        <v>253</v>
      </c>
      <c r="C957" s="1" t="s">
        <v>35</v>
      </c>
      <c r="D957" s="1"/>
      <c r="E957" s="1"/>
      <c r="F957" s="1"/>
      <c r="G957" s="1"/>
      <c r="I957" s="15"/>
      <c r="J957" s="15"/>
      <c r="K957" s="15"/>
      <c r="L957" s="17" t="str">
        <f>"'Switch on next AM416 Multiplexer channel.  PulsePort(DataLogger channel C#, Delay)"</f>
        <v>'Switch on next AM416 Multiplexer channel.  PulsePort(DataLogger channel C#, Delay)</v>
      </c>
      <c r="M957" s="15"/>
      <c r="N957" s="15"/>
      <c r="O957" s="15"/>
    </row>
    <row r="958" spans="1:15" ht="16.5" thickBot="1" x14ac:dyDescent="0.3">
      <c r="A958" s="5">
        <f>A954</f>
        <v>5</v>
      </c>
      <c r="B958" s="5"/>
      <c r="C958" s="6">
        <v>6</v>
      </c>
      <c r="D958" s="90" t="s">
        <v>247</v>
      </c>
      <c r="E958" s="91"/>
      <c r="F958" s="91"/>
      <c r="G958" s="92"/>
      <c r="I958" s="15"/>
      <c r="J958" s="15"/>
      <c r="K958" s="15"/>
      <c r="L958" s="15" t="str">
        <f>"PulsePort("&amp;ClockComChannel&amp;",10000)"</f>
        <v>PulsePort(1,10000)</v>
      </c>
      <c r="M958" s="15"/>
      <c r="N958" s="15"/>
      <c r="O958" s="15"/>
    </row>
    <row r="959" spans="1:15" x14ac:dyDescent="0.25">
      <c r="I959" s="15"/>
      <c r="J959" s="15"/>
      <c r="K959" s="15"/>
      <c r="L959" s="15"/>
      <c r="M959" s="17" t="str">
        <f>"'Measure Voltage Differential for Linear PAR sensor VoltDiff(Dest, Reps, Range, DiffChan, RevDiff, SettlingTime, Integ, Mult, Offset)"</f>
        <v>'Measure Voltage Differential for Linear PAR sensor VoltDiff(Dest, Reps, Range, DiffChan, RevDiff, SettlingTime, Integ, Mult, Offset)</v>
      </c>
      <c r="N959" s="15"/>
      <c r="O959" s="15"/>
    </row>
    <row r="960" spans="1:15" x14ac:dyDescent="0.25">
      <c r="A960" t="s">
        <v>248</v>
      </c>
      <c r="B960">
        <f>C958</f>
        <v>6</v>
      </c>
      <c r="C960" t="s">
        <v>249</v>
      </c>
      <c r="D960">
        <f>VLOOKUP("MUXDiffChannel",MUXChans,A958+1,FALSE)</f>
        <v>7</v>
      </c>
      <c r="E960" t="s">
        <v>282</v>
      </c>
      <c r="I960" s="15"/>
      <c r="J960" s="15"/>
      <c r="K960" s="15"/>
      <c r="L960" s="15"/>
      <c r="M960" s="15" t="str">
        <f>CONCATENATE(A960,B960,C960,D960,E960,F960,G960)</f>
        <v>VoltDiff(LinPAR(6),1,mV2500,7,True,0,_60Hz,33.3,0)</v>
      </c>
      <c r="N960" s="15"/>
      <c r="O960" s="15"/>
    </row>
    <row r="961" spans="1:15" ht="15.75" thickBot="1" x14ac:dyDescent="0.3">
      <c r="A961" s="1" t="s">
        <v>199</v>
      </c>
      <c r="B961" s="1" t="s">
        <v>253</v>
      </c>
      <c r="C961" s="1" t="s">
        <v>35</v>
      </c>
      <c r="D961" s="1"/>
      <c r="E961" s="1"/>
      <c r="F961" s="1"/>
      <c r="G961" s="1"/>
      <c r="I961" s="15"/>
      <c r="J961" s="15"/>
      <c r="K961" s="15"/>
      <c r="L961" s="17" t="str">
        <f>"'Switch on next AM416 Multiplexer channel.  PulsePort(DataLogger channel C#, Delay)"</f>
        <v>'Switch on next AM416 Multiplexer channel.  PulsePort(DataLogger channel C#, Delay)</v>
      </c>
      <c r="M961" s="15"/>
      <c r="N961" s="15"/>
      <c r="O961" s="15"/>
    </row>
    <row r="962" spans="1:15" ht="16.5" thickBot="1" x14ac:dyDescent="0.3">
      <c r="A962" s="5">
        <f>A958</f>
        <v>5</v>
      </c>
      <c r="B962" s="5"/>
      <c r="C962" s="6">
        <v>7</v>
      </c>
      <c r="D962" s="90" t="s">
        <v>247</v>
      </c>
      <c r="E962" s="91"/>
      <c r="F962" s="91"/>
      <c r="G962" s="92"/>
      <c r="I962" s="15"/>
      <c r="J962" s="15"/>
      <c r="K962" s="15"/>
      <c r="L962" s="15" t="str">
        <f>"PulsePort("&amp;ClockComChannel&amp;",10000)"</f>
        <v>PulsePort(1,10000)</v>
      </c>
      <c r="M962" s="15"/>
      <c r="N962" s="15"/>
      <c r="O962" s="15"/>
    </row>
    <row r="963" spans="1:15" x14ac:dyDescent="0.25">
      <c r="I963" s="15"/>
      <c r="J963" s="15"/>
      <c r="K963" s="15"/>
      <c r="L963" s="15"/>
      <c r="M963" s="17" t="str">
        <f>"'Measure Voltage Differential for Linear PAR sensor VoltDiff(Dest, Reps, Range, DiffChan, RevDiff, SettlingTime, Integ, Mult, Offset)"</f>
        <v>'Measure Voltage Differential for Linear PAR sensor VoltDiff(Dest, Reps, Range, DiffChan, RevDiff, SettlingTime, Integ, Mult, Offset)</v>
      </c>
      <c r="N963" s="15"/>
      <c r="O963" s="15"/>
    </row>
    <row r="964" spans="1:15" x14ac:dyDescent="0.25">
      <c r="A964" t="s">
        <v>248</v>
      </c>
      <c r="B964">
        <f>C962</f>
        <v>7</v>
      </c>
      <c r="C964" t="s">
        <v>249</v>
      </c>
      <c r="D964">
        <f>VLOOKUP("MUXDiffChannel",MUXChans,A962+1,FALSE)</f>
        <v>7</v>
      </c>
      <c r="E964" t="s">
        <v>282</v>
      </c>
      <c r="I964" s="15"/>
      <c r="J964" s="15"/>
      <c r="K964" s="15"/>
      <c r="L964" s="15"/>
      <c r="M964" s="15" t="str">
        <f>CONCATENATE(A964,B964,C964,D964,E964,F964,G964)</f>
        <v>VoltDiff(LinPAR(7),1,mV2500,7,True,0,_60Hz,33.3,0)</v>
      </c>
      <c r="N964" s="15"/>
      <c r="O964" s="15"/>
    </row>
    <row r="965" spans="1:15" ht="15.75" thickBot="1" x14ac:dyDescent="0.3">
      <c r="A965" s="1" t="s">
        <v>199</v>
      </c>
      <c r="B965" s="1" t="s">
        <v>253</v>
      </c>
      <c r="C965" s="1" t="s">
        <v>35</v>
      </c>
      <c r="D965" s="1"/>
      <c r="E965" s="1"/>
      <c r="F965" s="1"/>
      <c r="G965" s="1"/>
      <c r="I965" s="15"/>
      <c r="J965" s="15"/>
      <c r="K965" s="15"/>
      <c r="L965" s="17" t="str">
        <f>"'Switch on next AM416 Multiplexer channel.  PulsePort(DataLogger channel C#, Delay)"</f>
        <v>'Switch on next AM416 Multiplexer channel.  PulsePort(DataLogger channel C#, Delay)</v>
      </c>
      <c r="M965" s="15"/>
      <c r="N965" s="15"/>
      <c r="O965" s="15"/>
    </row>
    <row r="966" spans="1:15" ht="16.5" thickBot="1" x14ac:dyDescent="0.3">
      <c r="A966" s="5">
        <f>A962</f>
        <v>5</v>
      </c>
      <c r="B966" s="5"/>
      <c r="C966" s="6">
        <v>8</v>
      </c>
      <c r="D966" s="90" t="s">
        <v>247</v>
      </c>
      <c r="E966" s="91"/>
      <c r="F966" s="91"/>
      <c r="G966" s="92"/>
      <c r="I966" s="15"/>
      <c r="J966" s="15"/>
      <c r="K966" s="15"/>
      <c r="L966" s="15" t="str">
        <f>"PulsePort("&amp;ClockComChannel&amp;",10000)"</f>
        <v>PulsePort(1,10000)</v>
      </c>
      <c r="M966" s="15"/>
      <c r="N966" s="15"/>
      <c r="O966" s="15"/>
    </row>
    <row r="967" spans="1:15" x14ac:dyDescent="0.25">
      <c r="I967" s="15"/>
      <c r="J967" s="15"/>
      <c r="K967" s="15"/>
      <c r="L967" s="15"/>
      <c r="M967" s="17" t="str">
        <f>"'Measure Voltage Differential for Linear PAR sensor VoltDiff(Dest, Reps, Range, DiffChan, RevDiff, SettlingTime, Integ, Mult, Offset)"</f>
        <v>'Measure Voltage Differential for Linear PAR sensor VoltDiff(Dest, Reps, Range, DiffChan, RevDiff, SettlingTime, Integ, Mult, Offset)</v>
      </c>
      <c r="N967" s="15"/>
      <c r="O967" s="15"/>
    </row>
    <row r="968" spans="1:15" x14ac:dyDescent="0.25">
      <c r="A968" t="s">
        <v>248</v>
      </c>
      <c r="B968">
        <f>C966</f>
        <v>8</v>
      </c>
      <c r="C968" t="s">
        <v>249</v>
      </c>
      <c r="D968">
        <f>VLOOKUP("MUXDiffChannel",MUXChans,A966+1,FALSE)</f>
        <v>7</v>
      </c>
      <c r="E968" t="s">
        <v>282</v>
      </c>
      <c r="I968" s="15"/>
      <c r="J968" s="15"/>
      <c r="K968" s="15"/>
      <c r="L968" s="15"/>
      <c r="M968" s="15" t="str">
        <f>CONCATENATE(A968,B968,C968,D968,E968,F968,G968)</f>
        <v>VoltDiff(LinPAR(8),1,mV2500,7,True,0,_60Hz,33.3,0)</v>
      </c>
      <c r="N968" s="15"/>
      <c r="O968" s="15"/>
    </row>
    <row r="969" spans="1:15" ht="15.75" thickBot="1" x14ac:dyDescent="0.3">
      <c r="A969" s="1" t="s">
        <v>199</v>
      </c>
      <c r="B969" s="1" t="s">
        <v>253</v>
      </c>
      <c r="C969" s="1" t="s">
        <v>35</v>
      </c>
      <c r="D969" s="1"/>
      <c r="E969" s="1"/>
      <c r="F969" s="1"/>
      <c r="G969" s="1"/>
      <c r="I969" s="15"/>
      <c r="J969" s="15"/>
      <c r="K969" s="15"/>
      <c r="L969" s="17" t="str">
        <f>"'Switch on next AM416 Multiplexer channel.  PulsePort(DataLogger channel C#, Delay)"</f>
        <v>'Switch on next AM416 Multiplexer channel.  PulsePort(DataLogger channel C#, Delay)</v>
      </c>
      <c r="M969" s="15"/>
      <c r="N969" s="15"/>
      <c r="O969" s="15"/>
    </row>
    <row r="970" spans="1:15" ht="16.5" thickBot="1" x14ac:dyDescent="0.3">
      <c r="A970" s="5">
        <f>A966</f>
        <v>5</v>
      </c>
      <c r="B970" s="5"/>
      <c r="C970" s="6">
        <v>9</v>
      </c>
      <c r="D970" s="90" t="s">
        <v>247</v>
      </c>
      <c r="E970" s="91"/>
      <c r="F970" s="91"/>
      <c r="G970" s="92"/>
      <c r="I970" s="15"/>
      <c r="J970" s="15"/>
      <c r="K970" s="15"/>
      <c r="L970" s="15" t="str">
        <f>"PulsePort("&amp;ClockComChannel&amp;",10000)"</f>
        <v>PulsePort(1,10000)</v>
      </c>
      <c r="M970" s="15"/>
      <c r="N970" s="15"/>
      <c r="O970" s="15"/>
    </row>
    <row r="971" spans="1:15" x14ac:dyDescent="0.25">
      <c r="I971" s="15"/>
      <c r="J971" s="15"/>
      <c r="K971" s="15"/>
      <c r="L971" s="15"/>
      <c r="M971" s="17" t="str">
        <f>"'Measure Voltage Differential for Linear PAR sensor VoltDiff(Dest, Reps, Range, DiffChan, RevDiff, SettlingTime, Integ, Mult, Offset)"</f>
        <v>'Measure Voltage Differential for Linear PAR sensor VoltDiff(Dest, Reps, Range, DiffChan, RevDiff, SettlingTime, Integ, Mult, Offset)</v>
      </c>
      <c r="N971" s="15"/>
      <c r="O971" s="15"/>
    </row>
    <row r="972" spans="1:15" x14ac:dyDescent="0.25">
      <c r="A972" t="s">
        <v>248</v>
      </c>
      <c r="B972">
        <f>C970</f>
        <v>9</v>
      </c>
      <c r="C972" t="s">
        <v>249</v>
      </c>
      <c r="D972">
        <f>VLOOKUP("MUXDiffChannel",MUXChans,A970+1,FALSE)</f>
        <v>7</v>
      </c>
      <c r="E972" t="s">
        <v>282</v>
      </c>
      <c r="I972" s="15"/>
      <c r="J972" s="15"/>
      <c r="K972" s="15"/>
      <c r="L972" s="15"/>
      <c r="M972" s="15" t="str">
        <f>CONCATENATE(A972,B972,C972,D972,E972,F972,G972)</f>
        <v>VoltDiff(LinPAR(9),1,mV2500,7,True,0,_60Hz,33.3,0)</v>
      </c>
      <c r="N972" s="15"/>
      <c r="O972" s="15"/>
    </row>
    <row r="973" spans="1:15" ht="15.75" thickBot="1" x14ac:dyDescent="0.3">
      <c r="A973" s="1" t="s">
        <v>199</v>
      </c>
      <c r="B973" s="1" t="s">
        <v>253</v>
      </c>
      <c r="C973" s="1" t="s">
        <v>35</v>
      </c>
      <c r="D973" s="1"/>
      <c r="E973" s="1"/>
      <c r="F973" s="1"/>
      <c r="G973" s="1"/>
      <c r="I973" s="15"/>
      <c r="J973" s="15"/>
      <c r="K973" s="15"/>
      <c r="L973" s="17" t="str">
        <f>"'Switch on next AM416 Multiplexer channel.  PulsePort(DataLogger channel C#, Delay)"</f>
        <v>'Switch on next AM416 Multiplexer channel.  PulsePort(DataLogger channel C#, Delay)</v>
      </c>
      <c r="M973" s="15"/>
      <c r="N973" s="15"/>
      <c r="O973" s="15"/>
    </row>
    <row r="974" spans="1:15" ht="16.5" thickBot="1" x14ac:dyDescent="0.3">
      <c r="A974" s="5">
        <f>A970</f>
        <v>5</v>
      </c>
      <c r="B974" s="5"/>
      <c r="C974" s="6">
        <v>10</v>
      </c>
      <c r="D974" s="90" t="s">
        <v>247</v>
      </c>
      <c r="E974" s="91"/>
      <c r="F974" s="91"/>
      <c r="G974" s="92"/>
      <c r="I974" s="15"/>
      <c r="J974" s="15"/>
      <c r="K974" s="15"/>
      <c r="L974" s="15" t="str">
        <f>"PulsePort("&amp;ClockComChannel&amp;",10000)"</f>
        <v>PulsePort(1,10000)</v>
      </c>
      <c r="M974" s="15"/>
      <c r="N974" s="15"/>
      <c r="O974" s="15"/>
    </row>
    <row r="975" spans="1:15" x14ac:dyDescent="0.25">
      <c r="I975" s="15"/>
      <c r="J975" s="15"/>
      <c r="K975" s="15"/>
      <c r="L975" s="15"/>
      <c r="M975" s="17" t="str">
        <f>"'Measure Voltage Differential for Linear PAR sensor VoltDiff(Dest, Reps, Range, DiffChan, RevDiff, SettlingTime, Integ, Mult, Offset)"</f>
        <v>'Measure Voltage Differential for Linear PAR sensor VoltDiff(Dest, Reps, Range, DiffChan, RevDiff, SettlingTime, Integ, Mult, Offset)</v>
      </c>
      <c r="N975" s="15"/>
      <c r="O975" s="15"/>
    </row>
    <row r="976" spans="1:15" x14ac:dyDescent="0.25">
      <c r="A976" t="s">
        <v>248</v>
      </c>
      <c r="B976">
        <f>C974</f>
        <v>10</v>
      </c>
      <c r="C976" t="s">
        <v>249</v>
      </c>
      <c r="D976">
        <f>VLOOKUP("MUXDiffChannel",MUXChans,A974+1,FALSE)</f>
        <v>7</v>
      </c>
      <c r="E976" t="s">
        <v>282</v>
      </c>
      <c r="I976" s="15"/>
      <c r="J976" s="15"/>
      <c r="K976" s="15"/>
      <c r="L976" s="15"/>
      <c r="M976" s="15" t="str">
        <f>CONCATENATE(A976,B976,C976,D976,E976,F976,G976)</f>
        <v>VoltDiff(LinPAR(10),1,mV2500,7,True,0,_60Hz,33.3,0)</v>
      </c>
      <c r="N976" s="15"/>
      <c r="O976" s="15"/>
    </row>
    <row r="977" spans="1:15" ht="15.75" thickBot="1" x14ac:dyDescent="0.3">
      <c r="A977" s="1" t="s">
        <v>199</v>
      </c>
      <c r="B977" s="1" t="s">
        <v>253</v>
      </c>
      <c r="C977" s="1" t="s">
        <v>35</v>
      </c>
      <c r="D977" s="1"/>
      <c r="E977" s="1"/>
      <c r="F977" s="1"/>
      <c r="G977" s="1"/>
      <c r="I977" s="15"/>
      <c r="J977" s="15"/>
      <c r="K977" s="15"/>
      <c r="L977" s="17" t="str">
        <f>"'Switch on next AM416 Multiplexer channel.  PulsePort(DataLogger channel C#, Delay)"</f>
        <v>'Switch on next AM416 Multiplexer channel.  PulsePort(DataLogger channel C#, Delay)</v>
      </c>
      <c r="M977" s="15"/>
      <c r="N977" s="15"/>
      <c r="O977" s="15"/>
    </row>
    <row r="978" spans="1:15" ht="16.5" thickBot="1" x14ac:dyDescent="0.3">
      <c r="A978" s="5">
        <f>A974</f>
        <v>5</v>
      </c>
      <c r="B978" s="5"/>
      <c r="C978" s="6">
        <v>11</v>
      </c>
      <c r="D978" s="90" t="s">
        <v>247</v>
      </c>
      <c r="E978" s="91"/>
      <c r="F978" s="91"/>
      <c r="G978" s="92"/>
      <c r="I978" s="15"/>
      <c r="J978" s="15"/>
      <c r="K978" s="15"/>
      <c r="L978" s="15" t="str">
        <f>"PulsePort("&amp;ClockComChannel&amp;",10000)"</f>
        <v>PulsePort(1,10000)</v>
      </c>
      <c r="M978" s="15"/>
      <c r="N978" s="15"/>
      <c r="O978" s="15"/>
    </row>
    <row r="979" spans="1:15" x14ac:dyDescent="0.25">
      <c r="I979" s="15"/>
      <c r="J979" s="15"/>
      <c r="K979" s="15"/>
      <c r="L979" s="15"/>
      <c r="M979" s="17" t="str">
        <f>"'Measure Voltage Differential for Linear PAR sensor VoltDiff(Dest, Reps, Range, DiffChan, RevDiff, SettlingTime, Integ, Mult, Offset)"</f>
        <v>'Measure Voltage Differential for Linear PAR sensor VoltDiff(Dest, Reps, Range, DiffChan, RevDiff, SettlingTime, Integ, Mult, Offset)</v>
      </c>
      <c r="N979" s="15"/>
      <c r="O979" s="15"/>
    </row>
    <row r="980" spans="1:15" x14ac:dyDescent="0.25">
      <c r="A980" t="s">
        <v>248</v>
      </c>
      <c r="B980">
        <f>C978</f>
        <v>11</v>
      </c>
      <c r="C980" t="s">
        <v>249</v>
      </c>
      <c r="D980">
        <f>VLOOKUP("MUXDiffChannel",MUXChans,A978+1,FALSE)</f>
        <v>7</v>
      </c>
      <c r="E980" t="s">
        <v>282</v>
      </c>
      <c r="I980" s="15"/>
      <c r="J980" s="15"/>
      <c r="K980" s="15"/>
      <c r="L980" s="15"/>
      <c r="M980" s="15" t="str">
        <f>CONCATENATE(A980,B980,C980,D980,E980,F980,G980)</f>
        <v>VoltDiff(LinPAR(11),1,mV2500,7,True,0,_60Hz,33.3,0)</v>
      </c>
      <c r="N980" s="15"/>
      <c r="O980" s="15"/>
    </row>
    <row r="981" spans="1:15" ht="15.75" thickBot="1" x14ac:dyDescent="0.3">
      <c r="A981" s="1" t="s">
        <v>199</v>
      </c>
      <c r="B981" s="1" t="s">
        <v>253</v>
      </c>
      <c r="C981" s="1" t="s">
        <v>35</v>
      </c>
      <c r="D981" s="1"/>
      <c r="E981" s="1"/>
      <c r="F981" s="1"/>
      <c r="G981" s="1"/>
      <c r="I981" s="15"/>
      <c r="J981" s="15"/>
      <c r="K981" s="15"/>
      <c r="L981" s="17" t="str">
        <f>"'Switch on next AM416 Multiplexer channel.  PulsePort(DataLogger channel C#, Delay)"</f>
        <v>'Switch on next AM416 Multiplexer channel.  PulsePort(DataLogger channel C#, Delay)</v>
      </c>
      <c r="M981" s="15"/>
      <c r="N981" s="15"/>
      <c r="O981" s="15"/>
    </row>
    <row r="982" spans="1:15" ht="16.5" thickBot="1" x14ac:dyDescent="0.3">
      <c r="A982" s="5">
        <f>A978</f>
        <v>5</v>
      </c>
      <c r="B982" s="5"/>
      <c r="C982" s="6">
        <v>12</v>
      </c>
      <c r="D982" s="90" t="s">
        <v>247</v>
      </c>
      <c r="E982" s="91"/>
      <c r="F982" s="91"/>
      <c r="G982" s="92"/>
      <c r="I982" s="15"/>
      <c r="J982" s="15"/>
      <c r="K982" s="15"/>
      <c r="L982" s="15" t="str">
        <f>"PulsePort("&amp;ClockComChannel&amp;",10000)"</f>
        <v>PulsePort(1,10000)</v>
      </c>
      <c r="M982" s="15"/>
      <c r="N982" s="15"/>
      <c r="O982" s="15"/>
    </row>
    <row r="983" spans="1:15" x14ac:dyDescent="0.25">
      <c r="I983" s="15"/>
      <c r="J983" s="15"/>
      <c r="K983" s="15"/>
      <c r="L983" s="15"/>
      <c r="M983" s="17" t="str">
        <f>"'Measure Voltage Differential for Linear PAR sensor VoltDiff(Dest, Reps, Range, DiffChan, RevDiff, SettlingTime, Integ, Mult, Offset)"</f>
        <v>'Measure Voltage Differential for Linear PAR sensor VoltDiff(Dest, Reps, Range, DiffChan, RevDiff, SettlingTime, Integ, Mult, Offset)</v>
      </c>
      <c r="N983" s="15"/>
      <c r="O983" s="15"/>
    </row>
    <row r="984" spans="1:15" x14ac:dyDescent="0.25">
      <c r="A984" t="s">
        <v>248</v>
      </c>
      <c r="B984">
        <f>C982</f>
        <v>12</v>
      </c>
      <c r="C984" t="s">
        <v>249</v>
      </c>
      <c r="D984">
        <f>VLOOKUP("MUXDiffChannel",MUXChans,A982+1,FALSE)</f>
        <v>7</v>
      </c>
      <c r="E984" t="s">
        <v>282</v>
      </c>
      <c r="I984" s="15"/>
      <c r="J984" s="15"/>
      <c r="K984" s="15"/>
      <c r="L984" s="15"/>
      <c r="M984" s="15" t="str">
        <f>CONCATENATE(A984,B984,C984,D984,E984,F984,G984)</f>
        <v>VoltDiff(LinPAR(12),1,mV2500,7,True,0,_60Hz,33.3,0)</v>
      </c>
      <c r="N984" s="15"/>
      <c r="O984" s="15"/>
    </row>
    <row r="985" spans="1:15" ht="15.75" thickBot="1" x14ac:dyDescent="0.3">
      <c r="A985" s="1" t="s">
        <v>199</v>
      </c>
      <c r="B985" s="1" t="s">
        <v>253</v>
      </c>
      <c r="C985" s="1" t="s">
        <v>35</v>
      </c>
      <c r="D985" s="1"/>
      <c r="E985" s="1"/>
      <c r="F985" s="1"/>
      <c r="G985" s="1"/>
      <c r="I985" s="15"/>
      <c r="J985" s="15"/>
      <c r="K985" s="15"/>
      <c r="L985" s="17" t="str">
        <f>"'Switch on next AM416 Multiplexer channel.  PulsePort(DataLogger channel C#, Delay)"</f>
        <v>'Switch on next AM416 Multiplexer channel.  PulsePort(DataLogger channel C#, Delay)</v>
      </c>
      <c r="M985" s="15"/>
      <c r="N985" s="15"/>
      <c r="O985" s="15"/>
    </row>
    <row r="986" spans="1:15" ht="16.5" thickBot="1" x14ac:dyDescent="0.3">
      <c r="A986" s="5">
        <f>A982</f>
        <v>5</v>
      </c>
      <c r="B986" s="5"/>
      <c r="C986" s="6">
        <v>13</v>
      </c>
      <c r="D986" s="90" t="s">
        <v>247</v>
      </c>
      <c r="E986" s="91"/>
      <c r="F986" s="91"/>
      <c r="G986" s="92"/>
      <c r="I986" s="15"/>
      <c r="J986" s="15"/>
      <c r="K986" s="15"/>
      <c r="L986" s="15" t="str">
        <f>"PulsePort("&amp;ClockComChannel&amp;",10000)"</f>
        <v>PulsePort(1,10000)</v>
      </c>
      <c r="M986" s="15"/>
      <c r="N986" s="15"/>
      <c r="O986" s="15"/>
    </row>
    <row r="987" spans="1:15" x14ac:dyDescent="0.25">
      <c r="I987" s="15"/>
      <c r="J987" s="15"/>
      <c r="K987" s="15"/>
      <c r="L987" s="15"/>
      <c r="M987" s="17" t="str">
        <f>"'Measure Voltage Differential for Linear PAR sensor VoltDiff(Dest, Reps, Range, DiffChan, RevDiff, SettlingTime, Integ, Mult, Offset)"</f>
        <v>'Measure Voltage Differential for Linear PAR sensor VoltDiff(Dest, Reps, Range, DiffChan, RevDiff, SettlingTime, Integ, Mult, Offset)</v>
      </c>
      <c r="N987" s="15"/>
      <c r="O987" s="15"/>
    </row>
    <row r="988" spans="1:15" x14ac:dyDescent="0.25">
      <c r="A988" t="s">
        <v>248</v>
      </c>
      <c r="B988">
        <f>C986</f>
        <v>13</v>
      </c>
      <c r="C988" t="s">
        <v>249</v>
      </c>
      <c r="D988">
        <f>VLOOKUP("MUXDiffChannel",MUXChans,A986+1,FALSE)</f>
        <v>7</v>
      </c>
      <c r="E988" t="s">
        <v>282</v>
      </c>
      <c r="I988" s="15"/>
      <c r="J988" s="15"/>
      <c r="K988" s="15"/>
      <c r="L988" s="15"/>
      <c r="M988" s="15" t="str">
        <f>CONCATENATE(A988,B988,C988,D988,E988,F988,G988)</f>
        <v>VoltDiff(LinPAR(13),1,mV2500,7,True,0,_60Hz,33.3,0)</v>
      </c>
      <c r="N988" s="15"/>
      <c r="O988" s="15"/>
    </row>
    <row r="989" spans="1:15" ht="15.75" thickBot="1" x14ac:dyDescent="0.3">
      <c r="A989" s="1" t="s">
        <v>199</v>
      </c>
      <c r="B989" s="1" t="s">
        <v>253</v>
      </c>
      <c r="C989" s="1" t="s">
        <v>35</v>
      </c>
      <c r="D989" s="1"/>
      <c r="E989" s="1"/>
      <c r="F989" s="1"/>
      <c r="G989" s="1"/>
      <c r="I989" s="15"/>
      <c r="J989" s="15"/>
      <c r="K989" s="15"/>
      <c r="L989" s="17" t="str">
        <f>"'Switch on next AM416 Multiplexer channel.  PulsePort(DataLogger channel C#, Delay)"</f>
        <v>'Switch on next AM416 Multiplexer channel.  PulsePort(DataLogger channel C#, Delay)</v>
      </c>
      <c r="M989" s="15"/>
      <c r="N989" s="15"/>
      <c r="O989" s="15"/>
    </row>
    <row r="990" spans="1:15" ht="16.5" thickBot="1" x14ac:dyDescent="0.3">
      <c r="A990" s="5">
        <f>A986</f>
        <v>5</v>
      </c>
      <c r="B990" s="5"/>
      <c r="C990" s="6">
        <v>14</v>
      </c>
      <c r="D990" s="90" t="s">
        <v>247</v>
      </c>
      <c r="E990" s="91"/>
      <c r="F990" s="91"/>
      <c r="G990" s="92"/>
      <c r="I990" s="15"/>
      <c r="J990" s="15"/>
      <c r="K990" s="15"/>
      <c r="L990" s="15" t="str">
        <f>"PulsePort("&amp;ClockComChannel&amp;",10000)"</f>
        <v>PulsePort(1,10000)</v>
      </c>
      <c r="M990" s="15"/>
      <c r="N990" s="15"/>
      <c r="O990" s="15"/>
    </row>
    <row r="991" spans="1:15" x14ac:dyDescent="0.25">
      <c r="I991" s="15"/>
      <c r="J991" s="15"/>
      <c r="K991" s="15"/>
      <c r="L991" s="15"/>
      <c r="M991" s="17" t="str">
        <f>"'Measure Voltage Differential for Linear PAR sensor VoltDiff(Dest, Reps, Range, DiffChan, RevDiff, SettlingTime, Integ, Mult, Offset)"</f>
        <v>'Measure Voltage Differential for Linear PAR sensor VoltDiff(Dest, Reps, Range, DiffChan, RevDiff, SettlingTime, Integ, Mult, Offset)</v>
      </c>
      <c r="N991" s="15"/>
      <c r="O991" s="15"/>
    </row>
    <row r="992" spans="1:15" x14ac:dyDescent="0.25">
      <c r="A992" t="s">
        <v>248</v>
      </c>
      <c r="B992">
        <f>C990</f>
        <v>14</v>
      </c>
      <c r="C992" t="s">
        <v>249</v>
      </c>
      <c r="D992">
        <f>VLOOKUP("MUXDiffChannel",MUXChans,A990+1,FALSE)</f>
        <v>7</v>
      </c>
      <c r="E992" t="s">
        <v>282</v>
      </c>
      <c r="I992" s="15"/>
      <c r="J992" s="15"/>
      <c r="K992" s="15"/>
      <c r="L992" s="15"/>
      <c r="M992" s="15" t="str">
        <f>CONCATENATE(A992,B992,C992,D992,E992,F992,G992)</f>
        <v>VoltDiff(LinPAR(14),1,mV2500,7,True,0,_60Hz,33.3,0)</v>
      </c>
      <c r="N992" s="15"/>
      <c r="O992" s="15"/>
    </row>
    <row r="993" spans="1:15" ht="15.75" thickBot="1" x14ac:dyDescent="0.3">
      <c r="A993" s="1" t="s">
        <v>199</v>
      </c>
      <c r="B993" s="1" t="s">
        <v>253</v>
      </c>
      <c r="C993" s="1" t="s">
        <v>35</v>
      </c>
      <c r="D993" s="1"/>
      <c r="E993" s="1"/>
      <c r="F993" s="1"/>
      <c r="G993" s="1"/>
      <c r="I993" s="15"/>
      <c r="J993" s="15"/>
      <c r="K993" s="15"/>
      <c r="L993" s="17" t="str">
        <f>"'Switch on next AM416 Multiplexer channel.  PulsePort(DataLogger channel C#, Delay)"</f>
        <v>'Switch on next AM416 Multiplexer channel.  PulsePort(DataLogger channel C#, Delay)</v>
      </c>
      <c r="M993" s="15"/>
      <c r="N993" s="15"/>
      <c r="O993" s="15"/>
    </row>
    <row r="994" spans="1:15" ht="16.5" thickBot="1" x14ac:dyDescent="0.3">
      <c r="A994" s="5">
        <f>A990</f>
        <v>5</v>
      </c>
      <c r="B994" s="5"/>
      <c r="C994" s="6">
        <v>15</v>
      </c>
      <c r="D994" s="90" t="s">
        <v>247</v>
      </c>
      <c r="E994" s="91"/>
      <c r="F994" s="91"/>
      <c r="G994" s="92"/>
      <c r="I994" s="15"/>
      <c r="J994" s="15"/>
      <c r="K994" s="15"/>
      <c r="L994" s="15" t="str">
        <f>"PulsePort("&amp;ClockComChannel&amp;",10000)"</f>
        <v>PulsePort(1,10000)</v>
      </c>
      <c r="M994" s="15"/>
      <c r="N994" s="15"/>
      <c r="O994" s="15"/>
    </row>
    <row r="995" spans="1:15" x14ac:dyDescent="0.25">
      <c r="I995" s="15"/>
      <c r="J995" s="15"/>
      <c r="K995" s="15"/>
      <c r="L995" s="15"/>
      <c r="M995" s="17" t="str">
        <f>"'Measure Voltage Differential for Linear PAR sensor VoltDiff(Dest, Reps, Range, DiffChan, RevDiff, SettlingTime, Integ, Mult, Offset)"</f>
        <v>'Measure Voltage Differential for Linear PAR sensor VoltDiff(Dest, Reps, Range, DiffChan, RevDiff, SettlingTime, Integ, Mult, Offset)</v>
      </c>
      <c r="N995" s="15"/>
      <c r="O995" s="15"/>
    </row>
    <row r="996" spans="1:15" x14ac:dyDescent="0.25">
      <c r="A996" t="s">
        <v>248</v>
      </c>
      <c r="B996">
        <f>C994</f>
        <v>15</v>
      </c>
      <c r="C996" t="s">
        <v>249</v>
      </c>
      <c r="D996">
        <f>VLOOKUP("MUXDiffChannel",MUXChans,A994+1,FALSE)</f>
        <v>7</v>
      </c>
      <c r="E996" t="s">
        <v>282</v>
      </c>
      <c r="I996" s="15"/>
      <c r="J996" s="15"/>
      <c r="K996" s="15"/>
      <c r="L996" s="15"/>
      <c r="M996" s="15" t="str">
        <f>CONCATENATE(A996,B996,C996,D996,E996,F996,G996)</f>
        <v>VoltDiff(LinPAR(15),1,mV2500,7,True,0,_60Hz,33.3,0)</v>
      </c>
      <c r="N996" s="15"/>
      <c r="O996" s="15"/>
    </row>
    <row r="997" spans="1:15" ht="15.75" thickBot="1" x14ac:dyDescent="0.3">
      <c r="A997" s="1" t="s">
        <v>199</v>
      </c>
      <c r="B997" s="1" t="s">
        <v>253</v>
      </c>
      <c r="C997" s="1" t="s">
        <v>35</v>
      </c>
      <c r="D997" s="1"/>
      <c r="E997" s="1"/>
      <c r="F997" s="1"/>
      <c r="G997" s="1"/>
      <c r="I997" s="15"/>
      <c r="J997" s="15"/>
      <c r="K997" s="15"/>
      <c r="L997" s="17" t="str">
        <f>"'Switch on the first AM416 Multiplexer channel.  PulsePort(DataLogger channel C#, Delay)"</f>
        <v>'Switch on the first AM416 Multiplexer channel.  PulsePort(DataLogger channel C#, Delay)</v>
      </c>
      <c r="M997" s="15"/>
      <c r="N997" s="15"/>
      <c r="O997" s="15"/>
    </row>
    <row r="998" spans="1:15" ht="16.5" thickBot="1" x14ac:dyDescent="0.3">
      <c r="A998" s="5">
        <f>A994</f>
        <v>5</v>
      </c>
      <c r="B998" s="5"/>
      <c r="C998" s="6">
        <v>16</v>
      </c>
      <c r="D998" s="90" t="s">
        <v>247</v>
      </c>
      <c r="E998" s="91"/>
      <c r="F998" s="91"/>
      <c r="G998" s="92"/>
      <c r="I998" s="15"/>
      <c r="J998" s="15"/>
      <c r="K998" s="15"/>
      <c r="L998" s="15" t="str">
        <f>"PulsePort("&amp;ClockComChannel&amp;",10000)"</f>
        <v>PulsePort(1,10000)</v>
      </c>
      <c r="M998" s="15"/>
      <c r="N998" s="15"/>
      <c r="O998" s="15"/>
    </row>
    <row r="999" spans="1:15" x14ac:dyDescent="0.25">
      <c r="I999" s="15"/>
      <c r="J999" s="15"/>
      <c r="K999" s="15"/>
      <c r="L999" s="15"/>
      <c r="M999" s="17" t="str">
        <f>"'Measure Voltage Differential for Linear PAR sensor VoltDiff(Dest, Reps, Range, DiffChan, RevDiff, SettlingTime, Integ, Mult, Offset)"</f>
        <v>'Measure Voltage Differential for Linear PAR sensor VoltDiff(Dest, Reps, Range, DiffChan, RevDiff, SettlingTime, Integ, Mult, Offset)</v>
      </c>
      <c r="N999" s="15"/>
      <c r="O999" s="15"/>
    </row>
    <row r="1000" spans="1:15" x14ac:dyDescent="0.25">
      <c r="A1000" t="s">
        <v>248</v>
      </c>
      <c r="B1000">
        <f>C998</f>
        <v>16</v>
      </c>
      <c r="C1000" t="s">
        <v>249</v>
      </c>
      <c r="D1000">
        <f>VLOOKUP("MUXDiffChannel",MUXChans,A998+1,FALSE)</f>
        <v>7</v>
      </c>
      <c r="E1000" t="s">
        <v>282</v>
      </c>
      <c r="I1000" s="15"/>
      <c r="J1000" s="15"/>
      <c r="K1000" s="15"/>
      <c r="L1000" s="15"/>
      <c r="M1000" s="15" t="str">
        <f>CONCATENATE(A1000,B1000,C1000,D1000,E1000,F1000,G1000)</f>
        <v>VoltDiff(LinPAR(16),1,mV2500,7,True,0,_60Hz,33.3,0)</v>
      </c>
      <c r="N1000" s="15"/>
      <c r="O1000" s="15"/>
    </row>
    <row r="1001" spans="1:15" ht="15.75" thickBot="1" x14ac:dyDescent="0.3">
      <c r="A1001" s="1" t="s">
        <v>199</v>
      </c>
      <c r="B1001" s="1" t="s">
        <v>253</v>
      </c>
      <c r="C1001" s="1" t="s">
        <v>35</v>
      </c>
      <c r="D1001" s="1"/>
      <c r="E1001" s="1"/>
      <c r="F1001" s="1"/>
      <c r="G1001" s="1"/>
      <c r="I1001" s="15"/>
      <c r="J1001" s="15"/>
      <c r="K1001" s="15"/>
      <c r="L1001" s="17" t="str">
        <f>"'Switch on next AM416 Multiplexer channel.  PulsePort(DataLogger channel C#, Delay)"</f>
        <v>'Switch on next AM416 Multiplexer channel.  PulsePort(DataLogger channel C#, Delay)</v>
      </c>
      <c r="M1001" s="15"/>
      <c r="N1001" s="15"/>
      <c r="O1001" s="15"/>
    </row>
    <row r="1002" spans="1:15" ht="16.5" thickBot="1" x14ac:dyDescent="0.3">
      <c r="A1002" s="5">
        <f>A998</f>
        <v>5</v>
      </c>
      <c r="B1002" s="5"/>
      <c r="C1002" s="6">
        <v>17</v>
      </c>
      <c r="D1002" s="90" t="s">
        <v>247</v>
      </c>
      <c r="E1002" s="91"/>
      <c r="F1002" s="91"/>
      <c r="G1002" s="92"/>
      <c r="I1002" s="15"/>
      <c r="J1002" s="15"/>
      <c r="K1002" s="15"/>
      <c r="L1002" s="15" t="str">
        <f>"PulsePort("&amp;ClockComChannel&amp;",10000)"</f>
        <v>PulsePort(1,10000)</v>
      </c>
      <c r="M1002" s="15"/>
      <c r="N1002" s="15"/>
      <c r="O1002" s="15"/>
    </row>
    <row r="1003" spans="1:15" x14ac:dyDescent="0.25">
      <c r="I1003" s="15"/>
      <c r="J1003" s="15"/>
      <c r="K1003" s="15"/>
      <c r="L1003" s="15"/>
      <c r="M1003" s="17" t="str">
        <f>"'Measure Voltage Differential for Linear PAR sensor VoltDiff(Dest, Reps, Range, DiffChan, RevDiff, SettlingTime, Integ, Mult, Offset)"</f>
        <v>'Measure Voltage Differential for Linear PAR sensor VoltDiff(Dest, Reps, Range, DiffChan, RevDiff, SettlingTime, Integ, Mult, Offset)</v>
      </c>
      <c r="N1003" s="15"/>
      <c r="O1003" s="15"/>
    </row>
    <row r="1004" spans="1:15" x14ac:dyDescent="0.25">
      <c r="A1004" t="s">
        <v>248</v>
      </c>
      <c r="B1004">
        <f>C1002</f>
        <v>17</v>
      </c>
      <c r="C1004" t="s">
        <v>249</v>
      </c>
      <c r="D1004">
        <f>VLOOKUP("MUXDiffChannel",MUXChans,A1002+1,FALSE)</f>
        <v>7</v>
      </c>
      <c r="E1004" t="s">
        <v>282</v>
      </c>
      <c r="I1004" s="15"/>
      <c r="J1004" s="15"/>
      <c r="K1004" s="15"/>
      <c r="L1004" s="15"/>
      <c r="M1004" s="15" t="str">
        <f>CONCATENATE(A1004,B1004,C1004,D1004,E1004,F1004,G1004)</f>
        <v>VoltDiff(LinPAR(17),1,mV2500,7,True,0,_60Hz,33.3,0)</v>
      </c>
      <c r="N1004" s="15"/>
      <c r="O1004" s="15"/>
    </row>
    <row r="1005" spans="1:15" ht="15.75" thickBot="1" x14ac:dyDescent="0.3">
      <c r="A1005" s="1" t="s">
        <v>199</v>
      </c>
      <c r="B1005" s="1" t="s">
        <v>253</v>
      </c>
      <c r="C1005" s="1" t="s">
        <v>35</v>
      </c>
      <c r="D1005" s="1"/>
      <c r="E1005" s="1"/>
      <c r="F1005" s="1"/>
      <c r="G1005" s="1"/>
      <c r="I1005" s="15"/>
      <c r="J1005" s="15"/>
      <c r="K1005" s="15"/>
      <c r="L1005" s="17" t="str">
        <f>"'Switch on next AM416 Multiplexer channel.  PulsePort(DataLogger channel C#, Delay)"</f>
        <v>'Switch on next AM416 Multiplexer channel.  PulsePort(DataLogger channel C#, Delay)</v>
      </c>
      <c r="M1005" s="15"/>
      <c r="N1005" s="15"/>
      <c r="O1005" s="15"/>
    </row>
    <row r="1006" spans="1:15" ht="16.5" thickBot="1" x14ac:dyDescent="0.3">
      <c r="A1006" s="5">
        <f>A1002</f>
        <v>5</v>
      </c>
      <c r="B1006" s="5"/>
      <c r="C1006" s="6">
        <v>18</v>
      </c>
      <c r="D1006" s="90" t="s">
        <v>247</v>
      </c>
      <c r="E1006" s="91"/>
      <c r="F1006" s="91"/>
      <c r="G1006" s="92"/>
      <c r="I1006" s="15"/>
      <c r="J1006" s="15"/>
      <c r="K1006" s="15"/>
      <c r="L1006" s="15" t="str">
        <f>"PulsePort("&amp;ClockComChannel&amp;",10000)"</f>
        <v>PulsePort(1,10000)</v>
      </c>
      <c r="M1006" s="15"/>
      <c r="N1006" s="15"/>
      <c r="O1006" s="15"/>
    </row>
    <row r="1007" spans="1:15" x14ac:dyDescent="0.25">
      <c r="I1007" s="15"/>
      <c r="J1007" s="15"/>
      <c r="K1007" s="15"/>
      <c r="L1007" s="15"/>
      <c r="M1007" s="17" t="str">
        <f>"'Measure Voltage Differential for Linear PAR sensor VoltDiff(Dest, Reps, Range, DiffChan, RevDiff, SettlingTime, Integ, Mult, Offset)"</f>
        <v>'Measure Voltage Differential for Linear PAR sensor VoltDiff(Dest, Reps, Range, DiffChan, RevDiff, SettlingTime, Integ, Mult, Offset)</v>
      </c>
      <c r="N1007" s="15"/>
      <c r="O1007" s="15"/>
    </row>
    <row r="1008" spans="1:15" x14ac:dyDescent="0.25">
      <c r="A1008" t="s">
        <v>248</v>
      </c>
      <c r="B1008">
        <f>C1006</f>
        <v>18</v>
      </c>
      <c r="C1008" t="s">
        <v>249</v>
      </c>
      <c r="D1008">
        <f>VLOOKUP("MUXDiffChannel",MUXChans,A1006+1,FALSE)</f>
        <v>7</v>
      </c>
      <c r="E1008" t="s">
        <v>282</v>
      </c>
      <c r="I1008" s="15"/>
      <c r="J1008" s="15"/>
      <c r="K1008" s="15"/>
      <c r="L1008" s="15"/>
      <c r="M1008" s="15" t="str">
        <f>CONCATENATE(A1008,B1008,C1008,D1008,E1008,F1008,G1008)</f>
        <v>VoltDiff(LinPAR(18),1,mV2500,7,True,0,_60Hz,33.3,0)</v>
      </c>
      <c r="N1008" s="15"/>
      <c r="O1008" s="15"/>
    </row>
    <row r="1009" spans="1:15" ht="15.75" thickBot="1" x14ac:dyDescent="0.3">
      <c r="A1009" s="1" t="s">
        <v>199</v>
      </c>
      <c r="B1009" s="1" t="s">
        <v>253</v>
      </c>
      <c r="C1009" s="1" t="s">
        <v>35</v>
      </c>
      <c r="D1009" s="1"/>
      <c r="E1009" s="1"/>
      <c r="F1009" s="1"/>
      <c r="G1009" s="1"/>
      <c r="I1009" s="15"/>
      <c r="J1009" s="15"/>
      <c r="K1009" s="15"/>
      <c r="L1009" s="17" t="str">
        <f>"'Switch on next AM416 Multiplexer channel.  PulsePort(DataLogger channel C#, Delay)"</f>
        <v>'Switch on next AM416 Multiplexer channel.  PulsePort(DataLogger channel C#, Delay)</v>
      </c>
      <c r="M1009" s="15"/>
      <c r="N1009" s="15"/>
      <c r="O1009" s="15"/>
    </row>
    <row r="1010" spans="1:15" ht="16.5" thickBot="1" x14ac:dyDescent="0.3">
      <c r="A1010" s="5">
        <f>A1006</f>
        <v>5</v>
      </c>
      <c r="B1010" s="5"/>
      <c r="C1010" s="6">
        <v>19</v>
      </c>
      <c r="D1010" s="90" t="s">
        <v>247</v>
      </c>
      <c r="E1010" s="91"/>
      <c r="F1010" s="91"/>
      <c r="G1010" s="92"/>
      <c r="I1010" s="15"/>
      <c r="J1010" s="15"/>
      <c r="K1010" s="15"/>
      <c r="L1010" s="15" t="str">
        <f>"PulsePort("&amp;ClockComChannel&amp;",10000)"</f>
        <v>PulsePort(1,10000)</v>
      </c>
      <c r="M1010" s="15"/>
      <c r="N1010" s="15"/>
      <c r="O1010" s="15"/>
    </row>
    <row r="1011" spans="1:15" x14ac:dyDescent="0.25">
      <c r="I1011" s="15"/>
      <c r="J1011" s="15"/>
      <c r="K1011" s="15"/>
      <c r="L1011" s="15"/>
      <c r="M1011" s="17" t="str">
        <f>"'Measure Voltage Differential for Linear PAR sensor VoltDiff(Dest, Reps, Range, DiffChan, RevDiff, SettlingTime, Integ, Mult, Offset)"</f>
        <v>'Measure Voltage Differential for Linear PAR sensor VoltDiff(Dest, Reps, Range, DiffChan, RevDiff, SettlingTime, Integ, Mult, Offset)</v>
      </c>
      <c r="N1011" s="15"/>
      <c r="O1011" s="15"/>
    </row>
    <row r="1012" spans="1:15" x14ac:dyDescent="0.25">
      <c r="A1012" t="s">
        <v>248</v>
      </c>
      <c r="B1012">
        <f>C1010</f>
        <v>19</v>
      </c>
      <c r="C1012" t="s">
        <v>249</v>
      </c>
      <c r="D1012">
        <f>VLOOKUP("MUXDiffChannel",MUXChans,A1010+1,FALSE)</f>
        <v>7</v>
      </c>
      <c r="E1012" t="s">
        <v>282</v>
      </c>
      <c r="I1012" s="15"/>
      <c r="J1012" s="15"/>
      <c r="K1012" s="15"/>
      <c r="L1012" s="15"/>
      <c r="M1012" s="15" t="str">
        <f>CONCATENATE(A1012,B1012,C1012,D1012,E1012,F1012,G1012)</f>
        <v>VoltDiff(LinPAR(19),1,mV2500,7,True,0,_60Hz,33.3,0)</v>
      </c>
      <c r="N1012" s="15"/>
      <c r="O1012" s="15"/>
    </row>
    <row r="1013" spans="1:15" ht="15.75" thickBot="1" x14ac:dyDescent="0.3">
      <c r="A1013" s="1" t="s">
        <v>199</v>
      </c>
      <c r="B1013" s="1" t="s">
        <v>253</v>
      </c>
      <c r="C1013" s="1" t="s">
        <v>35</v>
      </c>
      <c r="D1013" s="1"/>
      <c r="E1013" s="1"/>
      <c r="F1013" s="1"/>
      <c r="G1013" s="1"/>
      <c r="I1013" s="15"/>
      <c r="J1013" s="15"/>
      <c r="K1013" s="15"/>
      <c r="L1013" s="17" t="str">
        <f>"'Switch on next AM416 Multiplexer channel.  PulsePort(DataLogger channel C#, Delay)"</f>
        <v>'Switch on next AM416 Multiplexer channel.  PulsePort(DataLogger channel C#, Delay)</v>
      </c>
      <c r="M1013" s="15"/>
      <c r="N1013" s="15"/>
      <c r="O1013" s="15"/>
    </row>
    <row r="1014" spans="1:15" ht="16.5" thickBot="1" x14ac:dyDescent="0.3">
      <c r="A1014" s="5">
        <f>A1010</f>
        <v>5</v>
      </c>
      <c r="B1014" s="5"/>
      <c r="C1014" s="6">
        <v>20</v>
      </c>
      <c r="D1014" s="90" t="s">
        <v>247</v>
      </c>
      <c r="E1014" s="91"/>
      <c r="F1014" s="91"/>
      <c r="G1014" s="92"/>
      <c r="I1014" s="15"/>
      <c r="J1014" s="15"/>
      <c r="K1014" s="15"/>
      <c r="L1014" s="15" t="str">
        <f>"PulsePort("&amp;ClockComChannel&amp;",10000)"</f>
        <v>PulsePort(1,10000)</v>
      </c>
      <c r="M1014" s="15"/>
      <c r="N1014" s="15"/>
      <c r="O1014" s="15"/>
    </row>
    <row r="1015" spans="1:15" x14ac:dyDescent="0.25">
      <c r="I1015" s="15"/>
      <c r="J1015" s="15"/>
      <c r="K1015" s="15"/>
      <c r="L1015" s="15"/>
      <c r="M1015" s="17" t="str">
        <f>"'Measure Voltage Differential for Linear PAR sensor VoltDiff(Dest, Reps, Range, DiffChan, RevDiff, SettlingTime, Integ, Mult, Offset)"</f>
        <v>'Measure Voltage Differential for Linear PAR sensor VoltDiff(Dest, Reps, Range, DiffChan, RevDiff, SettlingTime, Integ, Mult, Offset)</v>
      </c>
      <c r="N1015" s="15"/>
      <c r="O1015" s="15"/>
    </row>
    <row r="1016" spans="1:15" x14ac:dyDescent="0.25">
      <c r="A1016" t="s">
        <v>248</v>
      </c>
      <c r="B1016">
        <f>C1014</f>
        <v>20</v>
      </c>
      <c r="C1016" t="s">
        <v>249</v>
      </c>
      <c r="D1016">
        <f>VLOOKUP("MUXDiffChannel",MUXChans,A1014+1,FALSE)</f>
        <v>7</v>
      </c>
      <c r="E1016" t="s">
        <v>282</v>
      </c>
      <c r="I1016" s="15"/>
      <c r="J1016" s="15"/>
      <c r="K1016" s="15"/>
      <c r="L1016" s="15"/>
      <c r="M1016" s="15" t="str">
        <f>CONCATENATE(A1016,B1016,C1016,D1016,E1016,F1016,G1016)</f>
        <v>VoltDiff(LinPAR(20),1,mV2500,7,True,0,_60Hz,33.3,0)</v>
      </c>
      <c r="N1016" s="15"/>
      <c r="O1016" s="15"/>
    </row>
    <row r="1017" spans="1:15" ht="15.75" thickBot="1" x14ac:dyDescent="0.3">
      <c r="A1017" s="1" t="s">
        <v>199</v>
      </c>
      <c r="B1017" s="1" t="s">
        <v>253</v>
      </c>
      <c r="C1017" s="1" t="s">
        <v>35</v>
      </c>
      <c r="D1017" s="1"/>
      <c r="E1017" s="1"/>
      <c r="F1017" s="1"/>
      <c r="G1017" s="1"/>
      <c r="I1017" s="15"/>
      <c r="J1017" s="15"/>
      <c r="K1017" s="15"/>
      <c r="L1017" s="17" t="str">
        <f>"'Switch on next AM416 Multiplexer channel.  PulsePort(DataLogger channel C#, Delay)"</f>
        <v>'Switch on next AM416 Multiplexer channel.  PulsePort(DataLogger channel C#, Delay)</v>
      </c>
      <c r="M1017" s="15"/>
      <c r="N1017" s="15"/>
      <c r="O1017" s="15"/>
    </row>
    <row r="1018" spans="1:15" ht="16.5" thickBot="1" x14ac:dyDescent="0.3">
      <c r="A1018" s="5">
        <f>A1014</f>
        <v>5</v>
      </c>
      <c r="B1018" s="5"/>
      <c r="C1018" s="6">
        <v>21</v>
      </c>
      <c r="D1018" s="90" t="s">
        <v>247</v>
      </c>
      <c r="E1018" s="91"/>
      <c r="F1018" s="91"/>
      <c r="G1018" s="92"/>
      <c r="I1018" s="15"/>
      <c r="J1018" s="15"/>
      <c r="K1018" s="15"/>
      <c r="L1018" s="15" t="str">
        <f>"PulsePort("&amp;ClockComChannel&amp;",10000)"</f>
        <v>PulsePort(1,10000)</v>
      </c>
      <c r="M1018" s="15"/>
      <c r="N1018" s="15"/>
      <c r="O1018" s="15"/>
    </row>
    <row r="1019" spans="1:15" x14ac:dyDescent="0.25">
      <c r="I1019" s="15"/>
      <c r="J1019" s="15"/>
      <c r="K1019" s="15"/>
      <c r="L1019" s="15"/>
      <c r="M1019" s="17" t="str">
        <f>"'Measure Voltage Differential for Linear PAR sensor VoltDiff(Dest, Reps, Range, DiffChan, RevDiff, SettlingTime, Integ, Mult, Offset)"</f>
        <v>'Measure Voltage Differential for Linear PAR sensor VoltDiff(Dest, Reps, Range, DiffChan, RevDiff, SettlingTime, Integ, Mult, Offset)</v>
      </c>
      <c r="N1019" s="15"/>
      <c r="O1019" s="15"/>
    </row>
    <row r="1020" spans="1:15" x14ac:dyDescent="0.25">
      <c r="A1020" t="s">
        <v>248</v>
      </c>
      <c r="B1020">
        <f>C1018</f>
        <v>21</v>
      </c>
      <c r="C1020" t="s">
        <v>249</v>
      </c>
      <c r="D1020">
        <f>VLOOKUP("MUXDiffChannel",MUXChans,A1018+1,FALSE)</f>
        <v>7</v>
      </c>
      <c r="E1020" t="s">
        <v>282</v>
      </c>
      <c r="I1020" s="15"/>
      <c r="J1020" s="15"/>
      <c r="K1020" s="15"/>
      <c r="L1020" s="15"/>
      <c r="M1020" s="15" t="str">
        <f>CONCATENATE(A1020,B1020,C1020,D1020,E1020,F1020,G1020)</f>
        <v>VoltDiff(LinPAR(21),1,mV2500,7,True,0,_60Hz,33.3,0)</v>
      </c>
      <c r="N1020" s="15"/>
      <c r="O1020" s="15"/>
    </row>
    <row r="1021" spans="1:15" ht="15.75" thickBot="1" x14ac:dyDescent="0.3">
      <c r="A1021" s="1" t="s">
        <v>199</v>
      </c>
      <c r="B1021" s="1" t="s">
        <v>253</v>
      </c>
      <c r="C1021" s="1" t="s">
        <v>35</v>
      </c>
      <c r="D1021" s="1"/>
      <c r="E1021" s="1"/>
      <c r="F1021" s="1"/>
      <c r="G1021" s="1"/>
      <c r="I1021" s="15"/>
      <c r="J1021" s="15"/>
      <c r="K1021" s="15"/>
      <c r="L1021" s="17" t="str">
        <f>"'Switch on next AM416 Multiplexer channel.  PulsePort(DataLogger channel C#, Delay)"</f>
        <v>'Switch on next AM416 Multiplexer channel.  PulsePort(DataLogger channel C#, Delay)</v>
      </c>
      <c r="M1021" s="15"/>
      <c r="N1021" s="15"/>
      <c r="O1021" s="15"/>
    </row>
    <row r="1022" spans="1:15" ht="16.5" thickBot="1" x14ac:dyDescent="0.3">
      <c r="A1022" s="5">
        <f>A1018</f>
        <v>5</v>
      </c>
      <c r="B1022" s="5"/>
      <c r="C1022" s="6">
        <v>22</v>
      </c>
      <c r="D1022" s="90" t="s">
        <v>247</v>
      </c>
      <c r="E1022" s="91"/>
      <c r="F1022" s="91"/>
      <c r="G1022" s="92"/>
      <c r="I1022" s="15"/>
      <c r="J1022" s="15"/>
      <c r="K1022" s="15"/>
      <c r="L1022" s="15" t="str">
        <f>"PulsePort("&amp;ClockComChannel&amp;",10000)"</f>
        <v>PulsePort(1,10000)</v>
      </c>
      <c r="M1022" s="15"/>
      <c r="N1022" s="15"/>
      <c r="O1022" s="15"/>
    </row>
    <row r="1023" spans="1:15" x14ac:dyDescent="0.25">
      <c r="I1023" s="15"/>
      <c r="J1023" s="15"/>
      <c r="K1023" s="15"/>
      <c r="L1023" s="15"/>
      <c r="M1023" s="17" t="str">
        <f>"'Measure Voltage Differential for Linear PAR sensor VoltDiff(Dest, Reps, Range, DiffChan, RevDiff, SettlingTime, Integ, Mult, Offset)"</f>
        <v>'Measure Voltage Differential for Linear PAR sensor VoltDiff(Dest, Reps, Range, DiffChan, RevDiff, SettlingTime, Integ, Mult, Offset)</v>
      </c>
      <c r="N1023" s="15"/>
      <c r="O1023" s="15"/>
    </row>
    <row r="1024" spans="1:15" x14ac:dyDescent="0.25">
      <c r="A1024" t="s">
        <v>248</v>
      </c>
      <c r="B1024">
        <f>C1022</f>
        <v>22</v>
      </c>
      <c r="C1024" t="s">
        <v>249</v>
      </c>
      <c r="D1024">
        <f>VLOOKUP("MUXDiffChannel",MUXChans,A1022+1,FALSE)</f>
        <v>7</v>
      </c>
      <c r="E1024" t="s">
        <v>282</v>
      </c>
      <c r="I1024" s="15"/>
      <c r="J1024" s="15"/>
      <c r="K1024" s="15"/>
      <c r="L1024" s="15"/>
      <c r="M1024" s="15" t="str">
        <f>CONCATENATE(A1024,B1024,C1024,D1024,E1024,F1024,G1024)</f>
        <v>VoltDiff(LinPAR(22),1,mV2500,7,True,0,_60Hz,33.3,0)</v>
      </c>
      <c r="N1024" s="15"/>
      <c r="O1024" s="15"/>
    </row>
    <row r="1025" spans="1:15" ht="15.75" thickBot="1" x14ac:dyDescent="0.3">
      <c r="A1025" s="1" t="s">
        <v>199</v>
      </c>
      <c r="B1025" s="1" t="s">
        <v>253</v>
      </c>
      <c r="C1025" s="1" t="s">
        <v>35</v>
      </c>
      <c r="D1025" s="1"/>
      <c r="E1025" s="1"/>
      <c r="F1025" s="1"/>
      <c r="G1025" s="1"/>
      <c r="I1025" s="15"/>
      <c r="J1025" s="15"/>
      <c r="K1025" s="15"/>
      <c r="L1025" s="17" t="str">
        <f>"'Switch on next AM416 Multiplexer channel.  PulsePort(DataLogger channel C#, Delay)"</f>
        <v>'Switch on next AM416 Multiplexer channel.  PulsePort(DataLogger channel C#, Delay)</v>
      </c>
      <c r="M1025" s="15"/>
      <c r="N1025" s="15"/>
      <c r="O1025" s="15"/>
    </row>
    <row r="1026" spans="1:15" ht="16.5" thickBot="1" x14ac:dyDescent="0.3">
      <c r="A1026" s="5">
        <f>A1022</f>
        <v>5</v>
      </c>
      <c r="B1026" s="5"/>
      <c r="C1026" s="6">
        <v>23</v>
      </c>
      <c r="D1026" s="90" t="s">
        <v>247</v>
      </c>
      <c r="E1026" s="91"/>
      <c r="F1026" s="91"/>
      <c r="G1026" s="92"/>
      <c r="I1026" s="15"/>
      <c r="J1026" s="15"/>
      <c r="K1026" s="15"/>
      <c r="L1026" s="15" t="str">
        <f>"PulsePort("&amp;ClockComChannel&amp;",10000)"</f>
        <v>PulsePort(1,10000)</v>
      </c>
      <c r="M1026" s="15"/>
      <c r="N1026" s="15"/>
      <c r="O1026" s="15"/>
    </row>
    <row r="1027" spans="1:15" x14ac:dyDescent="0.25">
      <c r="I1027" s="15"/>
      <c r="J1027" s="15"/>
      <c r="K1027" s="15"/>
      <c r="L1027" s="15"/>
      <c r="M1027" s="17" t="str">
        <f>"'Measure Voltage Differential for Linear PAR sensor VoltDiff(Dest, Reps, Range, DiffChan, RevDiff, SettlingTime, Integ, Mult, Offset)"</f>
        <v>'Measure Voltage Differential for Linear PAR sensor VoltDiff(Dest, Reps, Range, DiffChan, RevDiff, SettlingTime, Integ, Mult, Offset)</v>
      </c>
      <c r="N1027" s="15"/>
      <c r="O1027" s="15"/>
    </row>
    <row r="1028" spans="1:15" x14ac:dyDescent="0.25">
      <c r="A1028" t="s">
        <v>248</v>
      </c>
      <c r="B1028">
        <f>C1026</f>
        <v>23</v>
      </c>
      <c r="C1028" t="s">
        <v>249</v>
      </c>
      <c r="D1028">
        <f>VLOOKUP("MUXDiffChannel",MUXChans,A1026+1,FALSE)</f>
        <v>7</v>
      </c>
      <c r="E1028" t="s">
        <v>282</v>
      </c>
      <c r="I1028" s="15"/>
      <c r="J1028" s="15"/>
      <c r="K1028" s="15"/>
      <c r="L1028" s="15"/>
      <c r="M1028" s="15" t="str">
        <f>CONCATENATE(A1028,B1028,C1028,D1028,E1028,F1028,G1028)</f>
        <v>VoltDiff(LinPAR(23),1,mV2500,7,True,0,_60Hz,33.3,0)</v>
      </c>
      <c r="N1028" s="15"/>
      <c r="O1028" s="15"/>
    </row>
    <row r="1029" spans="1:15" ht="15.75" thickBot="1" x14ac:dyDescent="0.3">
      <c r="A1029" s="1" t="s">
        <v>199</v>
      </c>
      <c r="B1029" s="1" t="s">
        <v>253</v>
      </c>
      <c r="C1029" s="1" t="s">
        <v>35</v>
      </c>
      <c r="D1029" s="1"/>
      <c r="E1029" s="1"/>
      <c r="F1029" s="1"/>
      <c r="G1029" s="1"/>
      <c r="I1029" s="15"/>
      <c r="J1029" s="15"/>
      <c r="K1029" s="15"/>
      <c r="L1029" s="17" t="str">
        <f>"'Switch on next AM416 Multiplexer channel.  PulsePort(DataLogger channel C#, Delay)"</f>
        <v>'Switch on next AM416 Multiplexer channel.  PulsePort(DataLogger channel C#, Delay)</v>
      </c>
      <c r="M1029" s="15"/>
      <c r="N1029" s="15"/>
      <c r="O1029" s="15"/>
    </row>
    <row r="1030" spans="1:15" ht="16.5" thickBot="1" x14ac:dyDescent="0.3">
      <c r="A1030" s="5">
        <f>A1026</f>
        <v>5</v>
      </c>
      <c r="B1030" s="5"/>
      <c r="C1030" s="6">
        <v>24</v>
      </c>
      <c r="D1030" s="90" t="s">
        <v>247</v>
      </c>
      <c r="E1030" s="91"/>
      <c r="F1030" s="91"/>
      <c r="G1030" s="92"/>
      <c r="I1030" s="15"/>
      <c r="J1030" s="15"/>
      <c r="K1030" s="15"/>
      <c r="L1030" s="15" t="str">
        <f>"PulsePort("&amp;ClockComChannel&amp;",10000)"</f>
        <v>PulsePort(1,10000)</v>
      </c>
      <c r="M1030" s="15"/>
      <c r="N1030" s="15"/>
      <c r="O1030" s="15"/>
    </row>
    <row r="1031" spans="1:15" x14ac:dyDescent="0.25">
      <c r="I1031" s="15"/>
      <c r="J1031" s="15"/>
      <c r="K1031" s="15"/>
      <c r="L1031" s="15"/>
      <c r="M1031" s="17" t="str">
        <f>"'Measure Voltage Differential for Linear PAR sensor VoltDiff(Dest, Reps, Range, DiffChan, RevDiff, SettlingTime, Integ, Mult, Offset)"</f>
        <v>'Measure Voltage Differential for Linear PAR sensor VoltDiff(Dest, Reps, Range, DiffChan, RevDiff, SettlingTime, Integ, Mult, Offset)</v>
      </c>
      <c r="N1031" s="15"/>
      <c r="O1031" s="15"/>
    </row>
    <row r="1032" spans="1:15" x14ac:dyDescent="0.25">
      <c r="A1032" t="s">
        <v>248</v>
      </c>
      <c r="B1032">
        <f>C1030</f>
        <v>24</v>
      </c>
      <c r="C1032" t="s">
        <v>249</v>
      </c>
      <c r="D1032">
        <f>VLOOKUP("MUXDiffChannel",MUXChans,A1030+1,FALSE)</f>
        <v>7</v>
      </c>
      <c r="E1032" t="s">
        <v>282</v>
      </c>
      <c r="I1032" s="15"/>
      <c r="J1032" s="15"/>
      <c r="K1032" s="15"/>
      <c r="L1032" s="15"/>
      <c r="M1032" s="15" t="str">
        <f>CONCATENATE(A1032,B1032,C1032,D1032,E1032,F1032,G1032)</f>
        <v>VoltDiff(LinPAR(24),1,mV2500,7,True,0,_60Hz,33.3,0)</v>
      </c>
      <c r="N1032" s="15"/>
      <c r="O1032" s="15"/>
    </row>
    <row r="1033" spans="1:15" ht="15.75" thickBot="1" x14ac:dyDescent="0.3">
      <c r="A1033" s="1" t="s">
        <v>199</v>
      </c>
      <c r="B1033" s="1" t="s">
        <v>253</v>
      </c>
      <c r="C1033" s="1" t="s">
        <v>35</v>
      </c>
      <c r="D1033" s="1"/>
      <c r="E1033" s="1"/>
      <c r="F1033" s="1"/>
      <c r="G1033" s="1"/>
      <c r="I1033" s="15"/>
      <c r="J1033" s="15"/>
      <c r="K1033" s="15"/>
      <c r="L1033" s="17" t="str">
        <f>"'Switch on next AM416 Multiplexer channel.  PulsePort(DataLogger channel C#, Delay)"</f>
        <v>'Switch on next AM416 Multiplexer channel.  PulsePort(DataLogger channel C#, Delay)</v>
      </c>
      <c r="M1033" s="15"/>
      <c r="N1033" s="15"/>
      <c r="O1033" s="15"/>
    </row>
    <row r="1034" spans="1:15" ht="16.5" thickBot="1" x14ac:dyDescent="0.3">
      <c r="A1034" s="5">
        <f>A1030</f>
        <v>5</v>
      </c>
      <c r="B1034" s="5"/>
      <c r="C1034" s="6">
        <v>25</v>
      </c>
      <c r="D1034" s="90" t="s">
        <v>247</v>
      </c>
      <c r="E1034" s="91"/>
      <c r="F1034" s="91"/>
      <c r="G1034" s="92"/>
      <c r="I1034" s="15"/>
      <c r="J1034" s="15"/>
      <c r="K1034" s="15"/>
      <c r="L1034" s="15" t="str">
        <f>"PulsePort("&amp;ClockComChannel&amp;",10000)"</f>
        <v>PulsePort(1,10000)</v>
      </c>
      <c r="M1034" s="15"/>
      <c r="N1034" s="15"/>
      <c r="O1034" s="15"/>
    </row>
    <row r="1035" spans="1:15" x14ac:dyDescent="0.25">
      <c r="I1035" s="15"/>
      <c r="J1035" s="15"/>
      <c r="K1035" s="15"/>
      <c r="L1035" s="15"/>
      <c r="M1035" s="17" t="str">
        <f>"'Measure Voltage Differential for Linear PAR sensor VoltDiff(Dest, Reps, Range, DiffChan, RevDiff, SettlingTime, Integ, Mult, Offset)"</f>
        <v>'Measure Voltage Differential for Linear PAR sensor VoltDiff(Dest, Reps, Range, DiffChan, RevDiff, SettlingTime, Integ, Mult, Offset)</v>
      </c>
      <c r="N1035" s="15"/>
      <c r="O1035" s="15"/>
    </row>
    <row r="1036" spans="1:15" x14ac:dyDescent="0.25">
      <c r="A1036" t="s">
        <v>248</v>
      </c>
      <c r="B1036">
        <f>C1034</f>
        <v>25</v>
      </c>
      <c r="C1036" t="s">
        <v>249</v>
      </c>
      <c r="D1036">
        <f>VLOOKUP("MUXDiffChannel",MUXChans,A1034+1,FALSE)</f>
        <v>7</v>
      </c>
      <c r="E1036" t="s">
        <v>282</v>
      </c>
      <c r="I1036" s="15"/>
      <c r="J1036" s="15"/>
      <c r="K1036" s="15"/>
      <c r="L1036" s="15"/>
      <c r="M1036" s="15" t="str">
        <f>CONCATENATE(A1036,B1036,C1036,D1036,E1036,F1036,G1036)</f>
        <v>VoltDiff(LinPAR(25),1,mV2500,7,True,0,_60Hz,33.3,0)</v>
      </c>
      <c r="N1036" s="15"/>
      <c r="O1036" s="15"/>
    </row>
    <row r="1037" spans="1:15" ht="15.75" thickBot="1" x14ac:dyDescent="0.3">
      <c r="A1037" s="1" t="s">
        <v>199</v>
      </c>
      <c r="B1037" s="1" t="s">
        <v>253</v>
      </c>
      <c r="C1037" s="1" t="s">
        <v>35</v>
      </c>
      <c r="D1037" s="1"/>
      <c r="E1037" s="1"/>
      <c r="F1037" s="1"/>
      <c r="G1037" s="1"/>
      <c r="I1037" s="15"/>
      <c r="J1037" s="15"/>
      <c r="K1037" s="15"/>
      <c r="L1037" s="17" t="str">
        <f>"'Switch on next AM416 Multiplexer channel.  PulsePort(DataLogger channel C#, Delay)"</f>
        <v>'Switch on next AM416 Multiplexer channel.  PulsePort(DataLogger channel C#, Delay)</v>
      </c>
      <c r="M1037" s="15"/>
      <c r="N1037" s="15"/>
      <c r="O1037" s="15"/>
    </row>
    <row r="1038" spans="1:15" ht="16.5" thickBot="1" x14ac:dyDescent="0.3">
      <c r="A1038" s="5">
        <f>A1034</f>
        <v>5</v>
      </c>
      <c r="B1038" s="5"/>
      <c r="C1038" s="6">
        <v>26</v>
      </c>
      <c r="D1038" s="90" t="s">
        <v>247</v>
      </c>
      <c r="E1038" s="91"/>
      <c r="F1038" s="91"/>
      <c r="G1038" s="92"/>
      <c r="I1038" s="15"/>
      <c r="J1038" s="15"/>
      <c r="K1038" s="15"/>
      <c r="L1038" s="15" t="str">
        <f>"PulsePort("&amp;ClockComChannel&amp;",10000)"</f>
        <v>PulsePort(1,10000)</v>
      </c>
      <c r="M1038" s="15"/>
      <c r="N1038" s="15"/>
      <c r="O1038" s="15"/>
    </row>
    <row r="1039" spans="1:15" x14ac:dyDescent="0.25">
      <c r="I1039" s="15"/>
      <c r="J1039" s="15"/>
      <c r="K1039" s="15"/>
      <c r="L1039" s="15"/>
      <c r="M1039" s="17" t="str">
        <f>"'Measure Voltage Differential for Linear PAR sensor VoltDiff(Dest, Reps, Range, DiffChan, RevDiff, SettlingTime, Integ, Mult, Offset)"</f>
        <v>'Measure Voltage Differential for Linear PAR sensor VoltDiff(Dest, Reps, Range, DiffChan, RevDiff, SettlingTime, Integ, Mult, Offset)</v>
      </c>
      <c r="N1039" s="15"/>
      <c r="O1039" s="15"/>
    </row>
    <row r="1040" spans="1:15" x14ac:dyDescent="0.25">
      <c r="A1040" t="s">
        <v>248</v>
      </c>
      <c r="B1040">
        <f>C1038</f>
        <v>26</v>
      </c>
      <c r="C1040" t="s">
        <v>249</v>
      </c>
      <c r="D1040">
        <f>VLOOKUP("MUXDiffChannel",MUXChans,A1038+1,FALSE)</f>
        <v>7</v>
      </c>
      <c r="E1040" t="s">
        <v>282</v>
      </c>
      <c r="I1040" s="15"/>
      <c r="J1040" s="15"/>
      <c r="K1040" s="15"/>
      <c r="L1040" s="15"/>
      <c r="M1040" s="15" t="str">
        <f>CONCATENATE(A1040,B1040,C1040,D1040,E1040,F1040,G1040)</f>
        <v>VoltDiff(LinPAR(26),1,mV2500,7,True,0,_60Hz,33.3,0)</v>
      </c>
      <c r="N1040" s="15"/>
      <c r="O1040" s="15"/>
    </row>
    <row r="1041" spans="1:15" ht="15.75" thickBot="1" x14ac:dyDescent="0.3">
      <c r="A1041" s="1" t="s">
        <v>199</v>
      </c>
      <c r="B1041" s="1" t="s">
        <v>253</v>
      </c>
      <c r="C1041" s="1" t="s">
        <v>35</v>
      </c>
      <c r="D1041" s="1"/>
      <c r="E1041" s="1"/>
      <c r="F1041" s="1"/>
      <c r="G1041" s="1"/>
      <c r="I1041" s="15"/>
      <c r="J1041" s="15"/>
      <c r="K1041" s="15"/>
      <c r="L1041" s="17" t="str">
        <f>"'Switch on next AM416 Multiplexer channel.  PulsePort(DataLogger channel C#, Delay)"</f>
        <v>'Switch on next AM416 Multiplexer channel.  PulsePort(DataLogger channel C#, Delay)</v>
      </c>
      <c r="M1041" s="15"/>
      <c r="N1041" s="15"/>
      <c r="O1041" s="15"/>
    </row>
    <row r="1042" spans="1:15" ht="16.5" thickBot="1" x14ac:dyDescent="0.3">
      <c r="A1042" s="5">
        <f>A1038</f>
        <v>5</v>
      </c>
      <c r="B1042" s="5"/>
      <c r="C1042" s="6">
        <v>27</v>
      </c>
      <c r="D1042" s="90" t="s">
        <v>247</v>
      </c>
      <c r="E1042" s="91"/>
      <c r="F1042" s="91"/>
      <c r="G1042" s="92"/>
      <c r="I1042" s="15"/>
      <c r="J1042" s="15"/>
      <c r="K1042" s="15"/>
      <c r="L1042" s="15" t="str">
        <f>"PulsePort("&amp;ClockComChannel&amp;",10000)"</f>
        <v>PulsePort(1,10000)</v>
      </c>
      <c r="M1042" s="15"/>
      <c r="N1042" s="15"/>
      <c r="O1042" s="15"/>
    </row>
    <row r="1043" spans="1:15" x14ac:dyDescent="0.25">
      <c r="I1043" s="15"/>
      <c r="J1043" s="15"/>
      <c r="K1043" s="15"/>
      <c r="L1043" s="15"/>
      <c r="M1043" s="17" t="str">
        <f>"'Measure Voltage Differential for Linear PAR sensor VoltDiff(Dest, Reps, Range, DiffChan, RevDiff, SettlingTime, Integ, Mult, Offset)"</f>
        <v>'Measure Voltage Differential for Linear PAR sensor VoltDiff(Dest, Reps, Range, DiffChan, RevDiff, SettlingTime, Integ, Mult, Offset)</v>
      </c>
      <c r="N1043" s="15"/>
      <c r="O1043" s="15"/>
    </row>
    <row r="1044" spans="1:15" x14ac:dyDescent="0.25">
      <c r="A1044" t="s">
        <v>248</v>
      </c>
      <c r="B1044">
        <f>C1042</f>
        <v>27</v>
      </c>
      <c r="C1044" t="s">
        <v>249</v>
      </c>
      <c r="D1044">
        <f>VLOOKUP("MUXDiffChannel",MUXChans,A1042+1,FALSE)</f>
        <v>7</v>
      </c>
      <c r="E1044" t="s">
        <v>282</v>
      </c>
      <c r="I1044" s="15"/>
      <c r="J1044" s="15"/>
      <c r="K1044" s="15"/>
      <c r="L1044" s="15"/>
      <c r="M1044" s="15" t="str">
        <f>CONCATENATE(A1044,B1044,C1044,D1044,E1044,F1044,G1044)</f>
        <v>VoltDiff(LinPAR(27),1,mV2500,7,True,0,_60Hz,33.3,0)</v>
      </c>
      <c r="N1044" s="15"/>
      <c r="O1044" s="15"/>
    </row>
    <row r="1045" spans="1:15" ht="15.75" thickBot="1" x14ac:dyDescent="0.3">
      <c r="A1045" s="1" t="s">
        <v>199</v>
      </c>
      <c r="B1045" s="1" t="s">
        <v>253</v>
      </c>
      <c r="C1045" s="1" t="s">
        <v>35</v>
      </c>
      <c r="D1045" s="1"/>
      <c r="E1045" s="1"/>
      <c r="F1045" s="1"/>
      <c r="G1045" s="1"/>
      <c r="I1045" s="15"/>
      <c r="J1045" s="15"/>
      <c r="K1045" s="15"/>
      <c r="L1045" s="17" t="str">
        <f>"'Switch on the next AM416 Multiplexer channel.  PulsePort(DataLogger channel C#, Delay)"</f>
        <v>'Switch on the next AM416 Multiplexer channel.  PulsePort(DataLogger channel C#, Delay)</v>
      </c>
      <c r="M1045" s="15"/>
      <c r="N1045" s="15"/>
      <c r="O1045" s="15"/>
    </row>
    <row r="1046" spans="1:15" ht="16.5" thickBot="1" x14ac:dyDescent="0.3">
      <c r="A1046" s="5">
        <f>A1042</f>
        <v>5</v>
      </c>
      <c r="B1046" s="5"/>
      <c r="C1046" s="6">
        <v>9</v>
      </c>
      <c r="D1046" s="81" t="s">
        <v>246</v>
      </c>
      <c r="E1046" s="82"/>
      <c r="F1046" s="82"/>
      <c r="G1046" s="83"/>
      <c r="I1046" s="15"/>
      <c r="J1046" s="15"/>
      <c r="K1046" s="15"/>
      <c r="L1046" s="15" t="str">
        <f>"PulsePort("&amp;ClockComChannel&amp;",10000)"</f>
        <v>PulsePort(1,10000)</v>
      </c>
      <c r="M1046" s="15"/>
      <c r="N1046" s="15"/>
      <c r="O1046" s="15"/>
    </row>
    <row r="1047" spans="1:15" x14ac:dyDescent="0.25">
      <c r="I1047" s="15"/>
      <c r="J1047" s="15"/>
      <c r="K1047" s="15"/>
      <c r="L1047" s="15"/>
      <c r="M1047" s="15" t="s">
        <v>173</v>
      </c>
      <c r="N1047" s="15"/>
      <c r="O1047" s="15"/>
    </row>
    <row r="1048" spans="1:15" x14ac:dyDescent="0.25">
      <c r="I1048" s="15"/>
      <c r="J1048" s="15"/>
      <c r="K1048" s="15"/>
      <c r="L1048" s="15"/>
      <c r="M1048" s="17" t="str">
        <f>"'Measure average temperature above heat flux plate.  TCDiff(Dest, Reps, Range, DiffChan, TCType, Tref, RevDiff, Settlingtime, Integ, Mult, Offset)"</f>
        <v>'Measure average temperature above heat flux plate.  TCDiff(Dest, Reps, Range, DiffChan, TCType, Tref, RevDiff, Settlingtime, Integ, Mult, Offset)</v>
      </c>
      <c r="N1048" s="15"/>
      <c r="O1048" s="15"/>
    </row>
    <row r="1049" spans="1:15" x14ac:dyDescent="0.25">
      <c r="A1049" t="s">
        <v>188</v>
      </c>
      <c r="B1049">
        <f>C1046</f>
        <v>9</v>
      </c>
      <c r="C1049" t="s">
        <v>174</v>
      </c>
      <c r="D1049">
        <f>VLOOKUP("MUXDiffChannel",MUXChans,A1046+1,FALSE)</f>
        <v>7</v>
      </c>
      <c r="E1049" t="s">
        <v>175</v>
      </c>
      <c r="I1049" s="15"/>
      <c r="J1049" s="15"/>
      <c r="K1049" s="15"/>
      <c r="L1049" s="15"/>
      <c r="M1049" s="15" t="str">
        <f>CONCATENATE(A1049,B1049,C1049,D1049,E1049,F1049,G1049)</f>
        <v>TCDiff(SoilAvTC(9),1,MV2_5C,7,TypeE,PTemp_C,True,0,_60Hz,1,0)</v>
      </c>
      <c r="N1049" s="15"/>
      <c r="O1049" s="15"/>
    </row>
    <row r="1050" spans="1:15" ht="15.75" thickBot="1" x14ac:dyDescent="0.3">
      <c r="A1050" s="1" t="s">
        <v>199</v>
      </c>
      <c r="B1050" s="1" t="s">
        <v>253</v>
      </c>
      <c r="C1050" s="1" t="s">
        <v>35</v>
      </c>
      <c r="D1050" s="1"/>
      <c r="E1050" s="1"/>
      <c r="F1050" s="1"/>
      <c r="G1050" s="1"/>
      <c r="I1050" s="15"/>
      <c r="J1050" s="15"/>
      <c r="K1050" s="15"/>
      <c r="L1050" s="17" t="str">
        <f>"'Switch on next AM416 Multiplexer channel.  PulsePort(DataLogger channel C#, Delay)"</f>
        <v>'Switch on next AM416 Multiplexer channel.  PulsePort(DataLogger channel C#, Delay)</v>
      </c>
      <c r="M1050" s="15"/>
      <c r="N1050" s="15"/>
      <c r="O1050" s="15"/>
    </row>
    <row r="1051" spans="1:15" ht="16.5" thickBot="1" x14ac:dyDescent="0.3">
      <c r="A1051" s="5">
        <f>A1046</f>
        <v>5</v>
      </c>
      <c r="B1051" s="5"/>
      <c r="C1051" s="6">
        <v>10</v>
      </c>
      <c r="D1051" s="81" t="s">
        <v>246</v>
      </c>
      <c r="E1051" s="82"/>
      <c r="F1051" s="82"/>
      <c r="G1051" s="83"/>
      <c r="I1051" s="15"/>
      <c r="J1051" s="15"/>
      <c r="K1051" s="15"/>
      <c r="L1051" s="15" t="str">
        <f>"PulsePort("&amp;ClockComChannel&amp;",10000)"</f>
        <v>PulsePort(1,10000)</v>
      </c>
      <c r="M1051" s="15"/>
      <c r="N1051" s="15"/>
      <c r="O1051" s="15"/>
    </row>
    <row r="1052" spans="1:15" x14ac:dyDescent="0.25">
      <c r="I1052" s="15"/>
      <c r="J1052" s="15"/>
      <c r="K1052" s="15"/>
      <c r="L1052" s="15"/>
      <c r="M1052" s="15" t="s">
        <v>173</v>
      </c>
      <c r="N1052" s="15"/>
      <c r="O1052" s="15"/>
    </row>
    <row r="1053" spans="1:15" x14ac:dyDescent="0.25">
      <c r="I1053" s="15"/>
      <c r="J1053" s="15"/>
      <c r="K1053" s="15"/>
      <c r="L1053" s="15"/>
      <c r="M1053" s="17" t="str">
        <f>"'Measure average temperature above heat flux plate.  TCDiff(Dest, Reps, Range, DiffChan, TCType, Tref, RevDiff, Settlingtime, Integ, Mult, Offset)"</f>
        <v>'Measure average temperature above heat flux plate.  TCDiff(Dest, Reps, Range, DiffChan, TCType, Tref, RevDiff, Settlingtime, Integ, Mult, Offset)</v>
      </c>
      <c r="N1053" s="15"/>
      <c r="O1053" s="15"/>
    </row>
    <row r="1054" spans="1:15" x14ac:dyDescent="0.25">
      <c r="A1054" t="s">
        <v>188</v>
      </c>
      <c r="B1054">
        <f>C1051</f>
        <v>10</v>
      </c>
      <c r="C1054" t="s">
        <v>174</v>
      </c>
      <c r="D1054">
        <f>VLOOKUP("MUXDiffChannel",MUXChans,A1051+1,FALSE)</f>
        <v>7</v>
      </c>
      <c r="E1054" t="s">
        <v>175</v>
      </c>
      <c r="I1054" s="15"/>
      <c r="J1054" s="15"/>
      <c r="K1054" s="15"/>
      <c r="L1054" s="15"/>
      <c r="M1054" s="15" t="str">
        <f>CONCATENATE(A1054,B1054,C1054,D1054,E1054,F1054,G1054)</f>
        <v>TCDiff(SoilAvTC(10),1,MV2_5C,7,TypeE,PTemp_C,True,0,_60Hz,1,0)</v>
      </c>
      <c r="N1054" s="15"/>
      <c r="O1054" s="15"/>
    </row>
    <row r="1055" spans="1:15" ht="15.75" thickBot="1" x14ac:dyDescent="0.3">
      <c r="A1055" s="1" t="s">
        <v>199</v>
      </c>
      <c r="B1055" s="1" t="s">
        <v>253</v>
      </c>
      <c r="C1055" s="1" t="s">
        <v>35</v>
      </c>
      <c r="D1055" s="1"/>
      <c r="E1055" s="1"/>
      <c r="F1055" s="1"/>
      <c r="G1055" s="1"/>
      <c r="I1055" s="15"/>
      <c r="J1055" s="15"/>
      <c r="K1055" s="15"/>
      <c r="L1055" s="17" t="str">
        <f>"'Switch on next AM416 Multiplexer channel.  PulsePort(DataLogger channel C#, Delay)"</f>
        <v>'Switch on next AM416 Multiplexer channel.  PulsePort(DataLogger channel C#, Delay)</v>
      </c>
      <c r="M1055" s="15"/>
      <c r="N1055" s="15"/>
      <c r="O1055" s="15"/>
    </row>
    <row r="1056" spans="1:15" ht="16.5" thickBot="1" x14ac:dyDescent="0.3">
      <c r="A1056" s="5">
        <f>A1051</f>
        <v>5</v>
      </c>
      <c r="B1056" s="5"/>
      <c r="C1056" s="6">
        <v>11</v>
      </c>
      <c r="D1056" s="81" t="s">
        <v>246</v>
      </c>
      <c r="E1056" s="82"/>
      <c r="F1056" s="82"/>
      <c r="G1056" s="83"/>
      <c r="I1056" s="15"/>
      <c r="J1056" s="15"/>
      <c r="K1056" s="15"/>
      <c r="L1056" s="15" t="str">
        <f>"PulsePort("&amp;ClockComChannel&amp;",10000)"</f>
        <v>PulsePort(1,10000)</v>
      </c>
      <c r="M1056" s="15"/>
      <c r="N1056" s="15"/>
      <c r="O1056" s="15"/>
    </row>
    <row r="1057" spans="1:15" x14ac:dyDescent="0.25">
      <c r="I1057" s="15"/>
      <c r="J1057" s="15"/>
      <c r="K1057" s="15"/>
      <c r="L1057" s="15"/>
      <c r="M1057" s="15" t="s">
        <v>173</v>
      </c>
      <c r="N1057" s="15"/>
      <c r="O1057" s="15"/>
    </row>
    <row r="1058" spans="1:15" x14ac:dyDescent="0.25">
      <c r="I1058" s="15"/>
      <c r="J1058" s="15"/>
      <c r="K1058" s="15"/>
      <c r="L1058" s="15"/>
      <c r="M1058" s="17" t="str">
        <f>"'Measure average temperature above heat flux plate.  TCDiff(Dest, Reps, Range, DiffChan, TCType, Tref, RevDiff, Settlingtime, Integ, Mult, Offset)"</f>
        <v>'Measure average temperature above heat flux plate.  TCDiff(Dest, Reps, Range, DiffChan, TCType, Tref, RevDiff, Settlingtime, Integ, Mult, Offset)</v>
      </c>
      <c r="N1058" s="15"/>
      <c r="O1058" s="15"/>
    </row>
    <row r="1059" spans="1:15" x14ac:dyDescent="0.25">
      <c r="A1059" t="s">
        <v>188</v>
      </c>
      <c r="B1059">
        <f>C1056</f>
        <v>11</v>
      </c>
      <c r="C1059" t="s">
        <v>174</v>
      </c>
      <c r="D1059">
        <f>VLOOKUP("MUXDiffChannel",MUXChans,A1056+1,FALSE)</f>
        <v>7</v>
      </c>
      <c r="E1059" t="s">
        <v>175</v>
      </c>
      <c r="I1059" s="15"/>
      <c r="J1059" s="15"/>
      <c r="K1059" s="15"/>
      <c r="L1059" s="15"/>
      <c r="M1059" s="15" t="str">
        <f>CONCATENATE(A1059,B1059,C1059,D1059,E1059,F1059,G1059)</f>
        <v>TCDiff(SoilAvTC(11),1,MV2_5C,7,TypeE,PTemp_C,True,0,_60Hz,1,0)</v>
      </c>
      <c r="N1059" s="15"/>
      <c r="O1059" s="15"/>
    </row>
    <row r="1060" spans="1:15" ht="15.75" thickBot="1" x14ac:dyDescent="0.3">
      <c r="A1060" s="1" t="s">
        <v>199</v>
      </c>
      <c r="B1060" s="1" t="s">
        <v>253</v>
      </c>
      <c r="C1060" s="1" t="s">
        <v>35</v>
      </c>
      <c r="D1060" s="1"/>
      <c r="E1060" s="1"/>
      <c r="F1060" s="1"/>
      <c r="G1060" s="1"/>
      <c r="I1060" s="15"/>
      <c r="J1060" s="15"/>
      <c r="K1060" s="15"/>
      <c r="L1060" s="17" t="str">
        <f>"'Switch on next AM416 Multiplexer channel.  PulsePort(DataLogger channel C#, Delay)"</f>
        <v>'Switch on next AM416 Multiplexer channel.  PulsePort(DataLogger channel C#, Delay)</v>
      </c>
      <c r="M1060" s="15"/>
      <c r="N1060" s="15"/>
      <c r="O1060" s="15"/>
    </row>
    <row r="1061" spans="1:15" ht="16.5" thickBot="1" x14ac:dyDescent="0.3">
      <c r="A1061" s="5">
        <f>A1056</f>
        <v>5</v>
      </c>
      <c r="B1061" s="5"/>
      <c r="C1061" s="6">
        <v>12</v>
      </c>
      <c r="D1061" s="81" t="s">
        <v>246</v>
      </c>
      <c r="E1061" s="82"/>
      <c r="F1061" s="82"/>
      <c r="G1061" s="83"/>
      <c r="I1061" s="15"/>
      <c r="J1061" s="15"/>
      <c r="K1061" s="15"/>
      <c r="L1061" s="15" t="str">
        <f>"PulsePort("&amp;ClockComChannel&amp;",10000)"</f>
        <v>PulsePort(1,10000)</v>
      </c>
      <c r="M1061" s="15"/>
      <c r="N1061" s="15"/>
      <c r="O1061" s="15"/>
    </row>
    <row r="1062" spans="1:15" x14ac:dyDescent="0.25">
      <c r="I1062" s="15"/>
      <c r="J1062" s="15"/>
      <c r="K1062" s="15"/>
      <c r="L1062" s="15"/>
      <c r="M1062" s="15" t="s">
        <v>173</v>
      </c>
      <c r="N1062" s="15"/>
      <c r="O1062" s="15"/>
    </row>
    <row r="1063" spans="1:15" x14ac:dyDescent="0.25">
      <c r="I1063" s="15"/>
      <c r="J1063" s="15"/>
      <c r="K1063" s="15"/>
      <c r="L1063" s="15"/>
      <c r="M1063" s="17" t="str">
        <f>"'Measure average temperature above heat flux plate.  TCDiff(Dest, Reps, Range, DiffChan, TCType, Tref, RevDiff, Settlingtime, Integ, Mult, Offset)"</f>
        <v>'Measure average temperature above heat flux plate.  TCDiff(Dest, Reps, Range, DiffChan, TCType, Tref, RevDiff, Settlingtime, Integ, Mult, Offset)</v>
      </c>
      <c r="N1063" s="15"/>
      <c r="O1063" s="15"/>
    </row>
    <row r="1064" spans="1:15" x14ac:dyDescent="0.25">
      <c r="A1064" t="s">
        <v>188</v>
      </c>
      <c r="B1064">
        <f>C1061</f>
        <v>12</v>
      </c>
      <c r="C1064" t="s">
        <v>174</v>
      </c>
      <c r="D1064">
        <f>VLOOKUP("MUXDiffChannel",MUXChans,A1061+1,FALSE)</f>
        <v>7</v>
      </c>
      <c r="E1064" t="s">
        <v>175</v>
      </c>
      <c r="I1064" s="15"/>
      <c r="J1064" s="15"/>
      <c r="K1064" s="15"/>
      <c r="L1064" s="15"/>
      <c r="M1064" s="15" t="str">
        <f>CONCATENATE(A1064,B1064,C1064,D1064,E1064,F1064,G1064)</f>
        <v>TCDiff(SoilAvTC(12),1,MV2_5C,7,TypeE,PTemp_C,True,0,_60Hz,1,0)</v>
      </c>
      <c r="N1064" s="15"/>
      <c r="O1064" s="15"/>
    </row>
    <row r="1065" spans="1:15" x14ac:dyDescent="0.25">
      <c r="A1065" s="16"/>
      <c r="B1065" s="16"/>
      <c r="C1065" s="16"/>
      <c r="D1065" s="16"/>
      <c r="E1065" s="16"/>
      <c r="F1065" s="16"/>
      <c r="G1065" s="16"/>
      <c r="I1065" s="15"/>
      <c r="J1065" s="15"/>
      <c r="K1065" s="17" t="str">
        <f>"'Turn AM16/32 Multiplexer Off.  PortSet(DataLogger channel C#, State 0=off and reset)"</f>
        <v>'Turn AM16/32 Multiplexer Off.  PortSet(DataLogger channel C#, State 0=off and reset)</v>
      </c>
      <c r="L1065" s="15"/>
      <c r="M1065" s="15"/>
      <c r="N1065" s="15"/>
      <c r="O1065" s="15"/>
    </row>
    <row r="1066" spans="1:15" x14ac:dyDescent="0.25">
      <c r="A1066" s="3" t="s">
        <v>29</v>
      </c>
      <c r="B1066" s="3">
        <f>VLOOKUP("MUXResComChannel",MUXChans,B934+1,FALSE)</f>
        <v>6</v>
      </c>
      <c r="C1066" s="3" t="s">
        <v>48</v>
      </c>
      <c r="D1066" s="16"/>
      <c r="E1066" s="16"/>
      <c r="F1066" s="16"/>
      <c r="G1066" s="16"/>
      <c r="I1066" s="15"/>
      <c r="J1066" s="15"/>
      <c r="K1066" s="15" t="str">
        <f>CONCATENATE(A1066,B1066,C1066)</f>
        <v>PortSet(6,0)</v>
      </c>
      <c r="L1066" s="15"/>
      <c r="M1066" s="15"/>
      <c r="N1066" s="15"/>
      <c r="O1066" s="15"/>
    </row>
    <row r="1067" spans="1:15" x14ac:dyDescent="0.25">
      <c r="A1067" s="16"/>
      <c r="B1067" s="16"/>
      <c r="C1067" s="16"/>
      <c r="D1067" s="16"/>
      <c r="E1067" s="16"/>
      <c r="F1067" s="16"/>
      <c r="G1067" s="16"/>
      <c r="I1067" s="15"/>
      <c r="J1067" s="15"/>
      <c r="K1067" s="15" t="s">
        <v>53</v>
      </c>
      <c r="L1067" s="15"/>
      <c r="M1067" s="15"/>
      <c r="N1067" s="15"/>
      <c r="O1067" s="15"/>
    </row>
    <row r="1068" spans="1:15" x14ac:dyDescent="0.25">
      <c r="A1068" s="16"/>
      <c r="B1068" s="16"/>
      <c r="C1068" s="16"/>
      <c r="D1068" s="16"/>
      <c r="E1068" s="16"/>
      <c r="F1068" s="16"/>
      <c r="G1068" s="16"/>
      <c r="I1068" s="15"/>
      <c r="J1068" s="15"/>
      <c r="K1068" s="15" t="str">
        <f>"'Call Data Tables and Store Data"</f>
        <v>'Call Data Tables and Store Data</v>
      </c>
      <c r="L1068" s="15"/>
      <c r="M1068" s="15"/>
      <c r="N1068" s="15"/>
      <c r="O1068" s="15"/>
    </row>
    <row r="1069" spans="1:15" x14ac:dyDescent="0.25">
      <c r="B1069" s="16"/>
      <c r="C1069" s="16"/>
      <c r="D1069" s="16"/>
      <c r="E1069" s="16"/>
      <c r="F1069" s="16"/>
      <c r="G1069" s="16"/>
      <c r="I1069" s="15"/>
      <c r="J1069" s="15"/>
      <c r="K1069" s="15" t="str">
        <f>CONCATENATE("CallTable(",DataTableName,")")</f>
        <v>CallTable(AllData)</v>
      </c>
      <c r="L1069" s="15"/>
      <c r="M1069" s="15"/>
      <c r="N1069" s="15"/>
      <c r="O1069" s="15"/>
    </row>
    <row r="1070" spans="1:15" x14ac:dyDescent="0.25">
      <c r="B1070" s="16"/>
      <c r="C1070" s="16"/>
      <c r="D1070" s="16"/>
      <c r="E1070" s="16"/>
      <c r="F1070" s="16"/>
      <c r="G1070" s="16"/>
      <c r="I1070" s="15"/>
      <c r="J1070" s="15" t="s">
        <v>18</v>
      </c>
      <c r="K1070" s="15"/>
      <c r="L1070" s="15"/>
      <c r="M1070" s="15"/>
      <c r="N1070" s="15"/>
      <c r="O1070" s="15"/>
    </row>
    <row r="1071" spans="1:15" x14ac:dyDescent="0.25">
      <c r="B1071" s="16"/>
      <c r="C1071" s="16"/>
      <c r="D1071" s="16"/>
      <c r="E1071" s="16"/>
      <c r="F1071" s="16"/>
      <c r="G1071" s="16"/>
      <c r="I1071" s="15" t="s">
        <v>19</v>
      </c>
      <c r="J1071" s="15"/>
      <c r="K1071" s="15"/>
      <c r="L1071" s="15"/>
      <c r="M1071" s="15"/>
      <c r="N1071" s="15"/>
      <c r="O1071" s="15"/>
    </row>
  </sheetData>
  <sortState ref="B63:J134">
    <sortCondition ref="B63"/>
  </sortState>
  <mergeCells count="109">
    <mergeCell ref="D1014:G1014"/>
    <mergeCell ref="D1018:G1018"/>
    <mergeCell ref="D1022:G1022"/>
    <mergeCell ref="D491:G491"/>
    <mergeCell ref="D986:G986"/>
    <mergeCell ref="D990:G990"/>
    <mergeCell ref="D994:G994"/>
    <mergeCell ref="D998:G998"/>
    <mergeCell ref="D1002:G1002"/>
    <mergeCell ref="D966:G966"/>
    <mergeCell ref="D970:G970"/>
    <mergeCell ref="D974:G974"/>
    <mergeCell ref="D978:G978"/>
    <mergeCell ref="D982:G982"/>
    <mergeCell ref="C263:G263"/>
    <mergeCell ref="D411:G411"/>
    <mergeCell ref="D443:G443"/>
    <mergeCell ref="D459:G459"/>
    <mergeCell ref="D475:G475"/>
    <mergeCell ref="D427:G427"/>
    <mergeCell ref="D267:G267"/>
    <mergeCell ref="D283:G283"/>
    <mergeCell ref="D299:G299"/>
    <mergeCell ref="D315:G315"/>
    <mergeCell ref="D331:G331"/>
    <mergeCell ref="D347:G347"/>
    <mergeCell ref="D363:G363"/>
    <mergeCell ref="D379:G379"/>
    <mergeCell ref="D395:G395"/>
    <mergeCell ref="D507:G507"/>
    <mergeCell ref="D681:G681"/>
    <mergeCell ref="D545:G545"/>
    <mergeCell ref="D561:G561"/>
    <mergeCell ref="D577:G577"/>
    <mergeCell ref="D593:G593"/>
    <mergeCell ref="D609:G609"/>
    <mergeCell ref="D625:G625"/>
    <mergeCell ref="D641:G641"/>
    <mergeCell ref="C525:G525"/>
    <mergeCell ref="D657:G657"/>
    <mergeCell ref="D665:G665"/>
    <mergeCell ref="D673:G673"/>
    <mergeCell ref="D529:G529"/>
    <mergeCell ref="D689:G689"/>
    <mergeCell ref="D697:G697"/>
    <mergeCell ref="D705:G705"/>
    <mergeCell ref="D713:G713"/>
    <mergeCell ref="C723:G723"/>
    <mergeCell ref="D1046:G1046"/>
    <mergeCell ref="D1051:G1051"/>
    <mergeCell ref="D1056:G1056"/>
    <mergeCell ref="D1061:G1061"/>
    <mergeCell ref="D946:G946"/>
    <mergeCell ref="D950:G950"/>
    <mergeCell ref="D954:G954"/>
    <mergeCell ref="D958:G958"/>
    <mergeCell ref="D962:G962"/>
    <mergeCell ref="C934:G934"/>
    <mergeCell ref="D938:G938"/>
    <mergeCell ref="D942:G942"/>
    <mergeCell ref="D1026:G1026"/>
    <mergeCell ref="D1030:G1030"/>
    <mergeCell ref="D1034:G1034"/>
    <mergeCell ref="D1038:G1038"/>
    <mergeCell ref="D1042:G1042"/>
    <mergeCell ref="D1006:G1006"/>
    <mergeCell ref="D1010:G1010"/>
    <mergeCell ref="D827:G827"/>
    <mergeCell ref="D831:G831"/>
    <mergeCell ref="D835:G835"/>
    <mergeCell ref="D839:G839"/>
    <mergeCell ref="D843:G843"/>
    <mergeCell ref="D847:G847"/>
    <mergeCell ref="D851:G851"/>
    <mergeCell ref="D799:G799"/>
    <mergeCell ref="D727:G727"/>
    <mergeCell ref="D736:G736"/>
    <mergeCell ref="D743:G743"/>
    <mergeCell ref="D750:G750"/>
    <mergeCell ref="D757:G757"/>
    <mergeCell ref="D764:G764"/>
    <mergeCell ref="D771:G771"/>
    <mergeCell ref="D778:G778"/>
    <mergeCell ref="D785:G785"/>
    <mergeCell ref="D792:G792"/>
    <mergeCell ref="D927:G927"/>
    <mergeCell ref="D907:G907"/>
    <mergeCell ref="D911:G911"/>
    <mergeCell ref="D915:G915"/>
    <mergeCell ref="D919:G919"/>
    <mergeCell ref="D923:G923"/>
    <mergeCell ref="D733:G733"/>
    <mergeCell ref="D903:G903"/>
    <mergeCell ref="D859:G859"/>
    <mergeCell ref="D863:G863"/>
    <mergeCell ref="D867:G867"/>
    <mergeCell ref="D871:G871"/>
    <mergeCell ref="D875:G875"/>
    <mergeCell ref="D879:G879"/>
    <mergeCell ref="D883:G883"/>
    <mergeCell ref="D887:G887"/>
    <mergeCell ref="D891:G891"/>
    <mergeCell ref="D895:G895"/>
    <mergeCell ref="D899:G899"/>
    <mergeCell ref="D855:G855"/>
    <mergeCell ref="D806:G806"/>
    <mergeCell ref="C815:G815"/>
    <mergeCell ref="D819:G819"/>
    <mergeCell ref="D823:G823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20"/>
  <sheetViews>
    <sheetView workbookViewId="0">
      <selection activeCell="G7" sqref="G7"/>
    </sheetView>
  </sheetViews>
  <sheetFormatPr defaultRowHeight="15" x14ac:dyDescent="0.25"/>
  <cols>
    <col min="3" max="3" width="12.28515625" bestFit="1" customWidth="1"/>
    <col min="5" max="5" width="14.85546875" bestFit="1" customWidth="1"/>
  </cols>
  <sheetData>
    <row r="4" spans="1:12" x14ac:dyDescent="0.25">
      <c r="A4" t="s">
        <v>228</v>
      </c>
      <c r="B4" t="s">
        <v>229</v>
      </c>
      <c r="C4" t="s">
        <v>234</v>
      </c>
      <c r="E4">
        <v>16</v>
      </c>
      <c r="F4" t="s">
        <v>236</v>
      </c>
      <c r="L4">
        <f>E4+G4+I4</f>
        <v>16</v>
      </c>
    </row>
    <row r="5" spans="1:12" x14ac:dyDescent="0.25">
      <c r="C5" t="s">
        <v>235</v>
      </c>
      <c r="E5">
        <v>16</v>
      </c>
      <c r="F5" t="s">
        <v>237</v>
      </c>
      <c r="L5">
        <f t="shared" ref="L5:L9" si="0">E5+G5+I5</f>
        <v>16</v>
      </c>
    </row>
    <row r="6" spans="1:12" x14ac:dyDescent="0.25">
      <c r="A6" t="s">
        <v>230</v>
      </c>
      <c r="B6" t="s">
        <v>229</v>
      </c>
      <c r="C6" t="s">
        <v>234</v>
      </c>
      <c r="E6">
        <v>8</v>
      </c>
      <c r="F6" t="s">
        <v>236</v>
      </c>
      <c r="G6">
        <v>8</v>
      </c>
      <c r="H6" t="s">
        <v>241</v>
      </c>
      <c r="L6">
        <f t="shared" si="0"/>
        <v>16</v>
      </c>
    </row>
    <row r="7" spans="1:12" x14ac:dyDescent="0.25">
      <c r="C7" t="s">
        <v>235</v>
      </c>
      <c r="E7">
        <v>8</v>
      </c>
      <c r="F7" t="s">
        <v>237</v>
      </c>
      <c r="G7">
        <v>8</v>
      </c>
      <c r="H7" t="s">
        <v>239</v>
      </c>
      <c r="L7">
        <f t="shared" si="0"/>
        <v>16</v>
      </c>
    </row>
    <row r="8" spans="1:12" x14ac:dyDescent="0.25">
      <c r="A8" t="s">
        <v>231</v>
      </c>
      <c r="B8" t="s">
        <v>233</v>
      </c>
      <c r="C8" t="s">
        <v>234</v>
      </c>
      <c r="E8">
        <v>4</v>
      </c>
      <c r="F8" t="s">
        <v>241</v>
      </c>
      <c r="G8">
        <v>15</v>
      </c>
      <c r="H8" t="s">
        <v>242</v>
      </c>
      <c r="I8">
        <v>12</v>
      </c>
      <c r="J8" t="s">
        <v>238</v>
      </c>
      <c r="L8">
        <f>E8+G8+I8</f>
        <v>31</v>
      </c>
    </row>
    <row r="9" spans="1:12" x14ac:dyDescent="0.25">
      <c r="A9" t="s">
        <v>232</v>
      </c>
      <c r="B9" t="s">
        <v>233</v>
      </c>
      <c r="C9" t="s">
        <v>235</v>
      </c>
      <c r="E9">
        <v>24</v>
      </c>
      <c r="F9" t="s">
        <v>240</v>
      </c>
      <c r="G9">
        <v>4</v>
      </c>
      <c r="H9" t="s">
        <v>239</v>
      </c>
      <c r="L9">
        <f t="shared" si="0"/>
        <v>28</v>
      </c>
    </row>
    <row r="14" spans="1:12" x14ac:dyDescent="0.25">
      <c r="E14" t="s">
        <v>236</v>
      </c>
      <c r="F14">
        <f>E4+E6</f>
        <v>24</v>
      </c>
    </row>
    <row r="15" spans="1:12" x14ac:dyDescent="0.25">
      <c r="E15" t="s">
        <v>237</v>
      </c>
      <c r="F15">
        <f>E5+E7</f>
        <v>24</v>
      </c>
    </row>
    <row r="16" spans="1:12" x14ac:dyDescent="0.25">
      <c r="E16" t="s">
        <v>241</v>
      </c>
      <c r="F16">
        <f>E8+G6</f>
        <v>12</v>
      </c>
    </row>
    <row r="17" spans="5:6" x14ac:dyDescent="0.25">
      <c r="E17" t="s">
        <v>239</v>
      </c>
      <c r="F17">
        <f>G7+G9</f>
        <v>12</v>
      </c>
    </row>
    <row r="18" spans="5:6" x14ac:dyDescent="0.25">
      <c r="E18" t="s">
        <v>240</v>
      </c>
      <c r="F18">
        <f>E9</f>
        <v>24</v>
      </c>
    </row>
    <row r="19" spans="5:6" x14ac:dyDescent="0.25">
      <c r="E19" t="s">
        <v>238</v>
      </c>
      <c r="F19">
        <f>G6+I8</f>
        <v>20</v>
      </c>
    </row>
    <row r="20" spans="5:6" x14ac:dyDescent="0.25">
      <c r="E20" t="s">
        <v>242</v>
      </c>
      <c r="F20">
        <f>G8</f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45</vt:i4>
      </vt:variant>
    </vt:vector>
  </HeadingPairs>
  <TitlesOfParts>
    <vt:vector size="50" baseType="lpstr">
      <vt:lpstr>Instructions</vt:lpstr>
      <vt:lpstr>Sensor coefficients</vt:lpstr>
      <vt:lpstr>LoggerSettings</vt:lpstr>
      <vt:lpstr>CRBasicTemplate</vt:lpstr>
      <vt:lpstr>Sheet1</vt:lpstr>
      <vt:lpstr>ClockComChannel</vt:lpstr>
      <vt:lpstr>DataAveragingFrequecy</vt:lpstr>
      <vt:lpstr>DataAveragingUnits</vt:lpstr>
      <vt:lpstr>DataTableName</vt:lpstr>
      <vt:lpstr>FluxPlateCalibrations</vt:lpstr>
      <vt:lpstr>HumSignalSEChan</vt:lpstr>
      <vt:lpstr>IR_SensorCoeffs</vt:lpstr>
      <vt:lpstr>LaefWetnessVXChan</vt:lpstr>
      <vt:lpstr>LeafWetnessSEChan</vt:lpstr>
      <vt:lpstr>LeafWetnessVXChan</vt:lpstr>
      <vt:lpstr>MUX1DiffChannel</vt:lpstr>
      <vt:lpstr>MUX1ResComChannel</vt:lpstr>
      <vt:lpstr>MUX1SEChannel</vt:lpstr>
      <vt:lpstr>MUX1VXChannel</vt:lpstr>
      <vt:lpstr>MUX2DiffChannel</vt:lpstr>
      <vt:lpstr>MUX2ResComChannel</vt:lpstr>
      <vt:lpstr>MUX2SEChannel</vt:lpstr>
      <vt:lpstr>MUX2VXChannel</vt:lpstr>
      <vt:lpstr>MUX3DiffChannel</vt:lpstr>
      <vt:lpstr>MUX3ResComChannel</vt:lpstr>
      <vt:lpstr>MUX3RseComChannel</vt:lpstr>
      <vt:lpstr>MUX3SEChannel</vt:lpstr>
      <vt:lpstr>MUX3VXChannel</vt:lpstr>
      <vt:lpstr>MUX4ResComChannel</vt:lpstr>
      <vt:lpstr>MUX4SEChannel</vt:lpstr>
      <vt:lpstr>MUX4VXChannel</vt:lpstr>
      <vt:lpstr>Mux5DiffChannel</vt:lpstr>
      <vt:lpstr>Mux5ResComChannel</vt:lpstr>
      <vt:lpstr>MUXChannnels</vt:lpstr>
      <vt:lpstr>MUXChans</vt:lpstr>
      <vt:lpstr>Pyrradiometer_coeff</vt:lpstr>
      <vt:lpstr>PyrradiometerDiffChan</vt:lpstr>
      <vt:lpstr>RadnSignalDifflChan</vt:lpstr>
      <vt:lpstr>RainMmPerTip</vt:lpstr>
      <vt:lpstr>RainSignalPulseChan</vt:lpstr>
      <vt:lpstr>ScanFrequenceUnits</vt:lpstr>
      <vt:lpstr>ScanFrequenceValue</vt:lpstr>
      <vt:lpstr>ScanFrequencyInSec</vt:lpstr>
      <vt:lpstr>SensorCoeffs</vt:lpstr>
      <vt:lpstr>SensorSerialNo</vt:lpstr>
      <vt:lpstr>TempSignalSEChan</vt:lpstr>
      <vt:lpstr>WindMSPerPulse</vt:lpstr>
      <vt:lpstr>WindMSPerSpin</vt:lpstr>
      <vt:lpstr>WindOffset</vt:lpstr>
      <vt:lpstr>WindSignalPulseChan</vt:lpstr>
    </vt:vector>
  </TitlesOfParts>
  <Company>Plant &amp; Food Research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cflhxb</dc:creator>
  <cp:lastModifiedBy>cflhxb</cp:lastModifiedBy>
  <cp:lastPrinted>2014-10-31T03:42:33Z</cp:lastPrinted>
  <dcterms:created xsi:type="dcterms:W3CDTF">2012-02-07T09:15:58Z</dcterms:created>
  <dcterms:modified xsi:type="dcterms:W3CDTF">2016-12-12T22:54:43Z</dcterms:modified>
</cp:coreProperties>
</file>