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unir\Downloads\"/>
    </mc:Choice>
  </mc:AlternateContent>
  <xr:revisionPtr revIDLastSave="0" documentId="8_{232DC009-6E04-5E4E-86F2-D87427D6B88A}" xr6:coauthVersionLast="47" xr6:coauthVersionMax="47" xr10:uidLastSave="{00000000-0000-0000-0000-000000000000}"/>
  <bookViews>
    <workbookView xWindow="0" yWindow="0" windowWidth="22968" windowHeight="9168" activeTab="7" xr2:uid="{00000000-000D-0000-FFFF-FFFF00000000}"/>
  </bookViews>
  <sheets>
    <sheet name="SOMMAIRE" sheetId="4" r:id="rId1"/>
    <sheet name="A SAVOIR" sheetId="2" r:id="rId2"/>
    <sheet name="PARAMETRAGE" sheetId="5" r:id="rId3"/>
    <sheet name="FICHE SALARIES" sheetId="7" r:id="rId4"/>
    <sheet name="CALCUL SB &amp; HS" sheetId="10" r:id="rId5"/>
    <sheet name="PAIE" sheetId="9" r:id="rId6"/>
    <sheet name="LIVRE PAIE " sheetId="6" r:id="rId7"/>
    <sheet name="CNSS" sheetId="8" r:id="rId8"/>
  </sheets>
  <externalReferences>
    <externalReference r:id="rId9"/>
  </externalReferences>
  <definedNames>
    <definedName name="ACTUEL">PARAMETRAGE!#REF!</definedName>
    <definedName name="CODE">'FICHE SALARIES'!$A$7:$A$23</definedName>
    <definedName name="CODE1">'FICHE SALARIES'!$A$7:$A$31</definedName>
    <definedName name="CONTRAT">#REF!</definedName>
    <definedName name="DEDUCTION">#REF!</definedName>
    <definedName name="FONCTION">#REF!</definedName>
    <definedName name="list">[1]LISTE!$A$8:$K$2697</definedName>
    <definedName name="MATRICULE">'FICHE SALARIES'!$A$7:$A$15</definedName>
    <definedName name="MOIS">PARAMETRAGE!$K$6:$K$29</definedName>
    <definedName name="NOM">'FICHE SALARIES'!$B$7:$B$11</definedName>
    <definedName name="TYP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0" l="1"/>
  <c r="M5" i="10"/>
  <c r="N5" i="10"/>
  <c r="F3" i="8"/>
  <c r="D3" i="6"/>
  <c r="C27" i="8"/>
  <c r="C28" i="8"/>
  <c r="C29" i="8"/>
  <c r="C30" i="8"/>
  <c r="C31" i="8"/>
  <c r="C32" i="8"/>
  <c r="C33" i="8"/>
  <c r="C34" i="8"/>
  <c r="B27" i="8"/>
  <c r="B28" i="8"/>
  <c r="B29" i="8"/>
  <c r="B30" i="8"/>
  <c r="B31" i="8"/>
  <c r="B32" i="8"/>
  <c r="B33" i="8"/>
  <c r="B34" i="8"/>
  <c r="A27" i="8"/>
  <c r="A28" i="8"/>
  <c r="A29" i="8"/>
  <c r="A30" i="8"/>
  <c r="A31" i="8"/>
  <c r="A32" i="8"/>
  <c r="A33" i="8"/>
  <c r="A34" i="8"/>
  <c r="F25" i="6"/>
  <c r="F26" i="6"/>
  <c r="F27" i="6"/>
  <c r="F28" i="6"/>
  <c r="F29" i="6"/>
  <c r="F30" i="6"/>
  <c r="F31" i="6"/>
  <c r="F32" i="6"/>
  <c r="E25" i="6"/>
  <c r="E26" i="6"/>
  <c r="E27" i="6"/>
  <c r="E28" i="6"/>
  <c r="E29" i="6"/>
  <c r="E30" i="6"/>
  <c r="E31" i="6"/>
  <c r="E32" i="6"/>
  <c r="D25" i="6"/>
  <c r="D26" i="6"/>
  <c r="D27" i="6"/>
  <c r="D28" i="6"/>
  <c r="D29" i="6"/>
  <c r="D30" i="6"/>
  <c r="D31" i="6"/>
  <c r="D32" i="6"/>
  <c r="C25" i="6"/>
  <c r="C26" i="6"/>
  <c r="C27" i="6"/>
  <c r="C28" i="6"/>
  <c r="C29" i="6"/>
  <c r="C30" i="6"/>
  <c r="C31" i="6"/>
  <c r="C32" i="6"/>
  <c r="B25" i="6"/>
  <c r="B26" i="6"/>
  <c r="B27" i="6"/>
  <c r="B28" i="6"/>
  <c r="B29" i="6"/>
  <c r="B30" i="6"/>
  <c r="B31" i="6"/>
  <c r="B32" i="6"/>
  <c r="Y22" i="10"/>
  <c r="Y23" i="10"/>
  <c r="Y24" i="10"/>
  <c r="Y25" i="10"/>
  <c r="Y26" i="10"/>
  <c r="Y27" i="10"/>
  <c r="Y28" i="10"/>
  <c r="Y29" i="10"/>
  <c r="P22" i="10"/>
  <c r="P23" i="10"/>
  <c r="P24" i="10"/>
  <c r="P25" i="10"/>
  <c r="P26" i="10"/>
  <c r="P27" i="10"/>
  <c r="P28" i="10"/>
  <c r="P29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L22" i="10"/>
  <c r="L23" i="10"/>
  <c r="L24" i="10"/>
  <c r="L25" i="10"/>
  <c r="L26" i="10"/>
  <c r="L27" i="10"/>
  <c r="L28" i="10"/>
  <c r="L29" i="10"/>
  <c r="K22" i="10"/>
  <c r="K23" i="10"/>
  <c r="K24" i="10"/>
  <c r="K25" i="10"/>
  <c r="K26" i="10"/>
  <c r="K27" i="10"/>
  <c r="K28" i="10"/>
  <c r="K29" i="10"/>
  <c r="J22" i="10"/>
  <c r="J23" i="10"/>
  <c r="J24" i="10"/>
  <c r="J25" i="10"/>
  <c r="J26" i="10"/>
  <c r="J27" i="10"/>
  <c r="J28" i="10"/>
  <c r="J29" i="10"/>
  <c r="H29" i="10"/>
  <c r="P32" i="6"/>
  <c r="H22" i="10"/>
  <c r="P25" i="6"/>
  <c r="H23" i="10"/>
  <c r="P26" i="6"/>
  <c r="H24" i="10"/>
  <c r="P27" i="6"/>
  <c r="H25" i="10"/>
  <c r="P28" i="6"/>
  <c r="H26" i="10"/>
  <c r="P29" i="6"/>
  <c r="H27" i="10"/>
  <c r="P30" i="6"/>
  <c r="H28" i="10"/>
  <c r="P31" i="6"/>
  <c r="C6" i="10"/>
  <c r="F6" i="10"/>
  <c r="C7" i="10"/>
  <c r="F7" i="10"/>
  <c r="C8" i="10"/>
  <c r="F8" i="10"/>
  <c r="C9" i="10"/>
  <c r="F9" i="10"/>
  <c r="C10" i="10"/>
  <c r="F10" i="10"/>
  <c r="C11" i="10"/>
  <c r="F11" i="10"/>
  <c r="C12" i="10"/>
  <c r="F12" i="10"/>
  <c r="C13" i="10"/>
  <c r="F13" i="10"/>
  <c r="C14" i="10"/>
  <c r="F14" i="10"/>
  <c r="C15" i="10"/>
  <c r="F15" i="10"/>
  <c r="C16" i="10"/>
  <c r="F16" i="10"/>
  <c r="C17" i="10"/>
  <c r="F17" i="10"/>
  <c r="C18" i="10"/>
  <c r="F18" i="10"/>
  <c r="C19" i="10"/>
  <c r="F19" i="10"/>
  <c r="C20" i="10"/>
  <c r="F20" i="10"/>
  <c r="C21" i="10"/>
  <c r="F21" i="10"/>
  <c r="C22" i="10"/>
  <c r="F22" i="10"/>
  <c r="C23" i="10"/>
  <c r="F23" i="10"/>
  <c r="C24" i="10"/>
  <c r="F24" i="10"/>
  <c r="C25" i="10"/>
  <c r="F25" i="10"/>
  <c r="C26" i="10"/>
  <c r="F26" i="10"/>
  <c r="C27" i="10"/>
  <c r="F27" i="10"/>
  <c r="C28" i="10"/>
  <c r="F28" i="10"/>
  <c r="C29" i="10"/>
  <c r="F29" i="10"/>
  <c r="C5" i="10"/>
  <c r="F5" i="10"/>
  <c r="E22" i="10"/>
  <c r="E23" i="10"/>
  <c r="E24" i="10"/>
  <c r="E25" i="10"/>
  <c r="E26" i="10"/>
  <c r="E27" i="10"/>
  <c r="E28" i="10"/>
  <c r="E29" i="10"/>
  <c r="D32" i="9"/>
  <c r="P5" i="10"/>
  <c r="Q7" i="7"/>
  <c r="Q8" i="7"/>
  <c r="Q9" i="7"/>
  <c r="Q10" i="7"/>
  <c r="Q11" i="7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10" i="8"/>
  <c r="A26" i="8"/>
  <c r="A21" i="8"/>
  <c r="A22" i="8"/>
  <c r="A23" i="8"/>
  <c r="A24" i="8"/>
  <c r="A25" i="8"/>
  <c r="A11" i="8"/>
  <c r="A12" i="8"/>
  <c r="A13" i="8"/>
  <c r="A14" i="8"/>
  <c r="A15" i="8"/>
  <c r="A16" i="8"/>
  <c r="A17" i="8"/>
  <c r="A18" i="8"/>
  <c r="A19" i="8"/>
  <c r="A20" i="8"/>
  <c r="A10" i="8"/>
  <c r="D27" i="2"/>
  <c r="C2" i="4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5" i="10"/>
  <c r="J5" i="10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8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9" i="6"/>
  <c r="B8" i="6"/>
  <c r="B21" i="9"/>
  <c r="B20" i="9"/>
  <c r="B17" i="9"/>
  <c r="C14" i="9"/>
  <c r="F12" i="9"/>
  <c r="E12" i="9"/>
  <c r="D12" i="9"/>
  <c r="B12" i="9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H6" i="10"/>
  <c r="P9" i="6"/>
  <c r="H7" i="10"/>
  <c r="P10" i="6"/>
  <c r="H8" i="10"/>
  <c r="P11" i="6"/>
  <c r="H9" i="10"/>
  <c r="P12" i="6"/>
  <c r="H10" i="10"/>
  <c r="P13" i="6"/>
  <c r="H11" i="10"/>
  <c r="P14" i="6"/>
  <c r="H12" i="10"/>
  <c r="P15" i="6"/>
  <c r="H13" i="10"/>
  <c r="P16" i="6"/>
  <c r="H14" i="10"/>
  <c r="P17" i="6"/>
  <c r="H15" i="10"/>
  <c r="P18" i="6"/>
  <c r="H16" i="10"/>
  <c r="P19" i="6"/>
  <c r="H17" i="10"/>
  <c r="P20" i="6"/>
  <c r="H18" i="10"/>
  <c r="P21" i="6"/>
  <c r="H19" i="10"/>
  <c r="P22" i="6"/>
  <c r="H20" i="10"/>
  <c r="P23" i="6"/>
  <c r="H21" i="10"/>
  <c r="P24" i="6"/>
  <c r="H5" i="10"/>
  <c r="P8" i="6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5" i="10"/>
  <c r="G19" i="10"/>
  <c r="G15" i="10"/>
  <c r="G7" i="10"/>
  <c r="G5" i="10"/>
  <c r="G18" i="10"/>
  <c r="G14" i="10"/>
  <c r="G10" i="10"/>
  <c r="G6" i="10"/>
  <c r="G21" i="10"/>
  <c r="G17" i="10"/>
  <c r="G13" i="10"/>
  <c r="G9" i="10"/>
  <c r="G20" i="10"/>
  <c r="G16" i="10"/>
  <c r="G8" i="10"/>
  <c r="C18" i="9"/>
  <c r="B15" i="9"/>
  <c r="I29" i="10"/>
  <c r="I28" i="10"/>
  <c r="I27" i="10"/>
  <c r="I26" i="10"/>
  <c r="I25" i="10"/>
  <c r="I24" i="10"/>
  <c r="I23" i="10"/>
  <c r="I22" i="10"/>
  <c r="G29" i="10"/>
  <c r="G28" i="10"/>
  <c r="G27" i="10"/>
  <c r="G26" i="10"/>
  <c r="G25" i="10"/>
  <c r="G24" i="10"/>
  <c r="G23" i="10"/>
  <c r="G22" i="10"/>
  <c r="G12" i="10"/>
  <c r="G11" i="10"/>
  <c r="I9" i="10"/>
  <c r="I8" i="10"/>
  <c r="I5" i="10"/>
  <c r="I7" i="10"/>
  <c r="I6" i="10"/>
  <c r="F33" i="9"/>
  <c r="I21" i="10"/>
  <c r="I20" i="10"/>
  <c r="I19" i="10"/>
  <c r="I18" i="10"/>
  <c r="I17" i="10"/>
  <c r="I16" i="10"/>
  <c r="I15" i="10"/>
  <c r="I14" i="10"/>
  <c r="I13" i="10"/>
  <c r="I12" i="10"/>
  <c r="I11" i="10"/>
  <c r="I10" i="10"/>
  <c r="D17" i="9"/>
  <c r="C21" i="9"/>
  <c r="F21" i="9"/>
  <c r="C12" i="9"/>
  <c r="A12" i="9"/>
  <c r="F10" i="9"/>
  <c r="B10" i="9"/>
  <c r="J16" i="10"/>
  <c r="J17" i="10"/>
  <c r="J18" i="10"/>
  <c r="J19" i="10"/>
  <c r="J20" i="10"/>
  <c r="J21" i="10"/>
  <c r="B6" i="10"/>
  <c r="B7" i="10"/>
  <c r="A10" i="9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C26" i="9"/>
  <c r="R8" i="7"/>
  <c r="J6" i="10"/>
  <c r="R9" i="7"/>
  <c r="J7" i="10"/>
  <c r="R10" i="7"/>
  <c r="J8" i="10"/>
  <c r="R11" i="7"/>
  <c r="J9" i="10"/>
  <c r="J11" i="10"/>
  <c r="J12" i="10"/>
  <c r="J13" i="10"/>
  <c r="J14" i="10"/>
  <c r="J15" i="10"/>
  <c r="C20" i="9"/>
  <c r="D20" i="9"/>
  <c r="B14" i="9"/>
  <c r="D14" i="9"/>
  <c r="B7" i="9"/>
  <c r="B6" i="9"/>
  <c r="B5" i="9"/>
  <c r="B4" i="9"/>
  <c r="C22" i="9"/>
  <c r="D7" i="2"/>
  <c r="D6" i="2"/>
  <c r="O18" i="10"/>
  <c r="Q18" i="10"/>
  <c r="T18" i="10"/>
  <c r="O15" i="10"/>
  <c r="Q15" i="10"/>
  <c r="T15" i="10"/>
  <c r="M18" i="6"/>
  <c r="O19" i="10"/>
  <c r="Q19" i="10"/>
  <c r="T19" i="10"/>
  <c r="M22" i="6"/>
  <c r="O21" i="10"/>
  <c r="Q21" i="10"/>
  <c r="T21" i="10"/>
  <c r="M24" i="6"/>
  <c r="O17" i="10"/>
  <c r="Q17" i="10"/>
  <c r="T17" i="10"/>
  <c r="M20" i="6"/>
  <c r="O14" i="10"/>
  <c r="Q14" i="10"/>
  <c r="T14" i="10"/>
  <c r="O13" i="10"/>
  <c r="Q13" i="10"/>
  <c r="O6" i="10"/>
  <c r="Q6" i="10"/>
  <c r="T6" i="10"/>
  <c r="M9" i="6"/>
  <c r="O20" i="10"/>
  <c r="Q20" i="10"/>
  <c r="T20" i="10"/>
  <c r="M23" i="6"/>
  <c r="O16" i="10"/>
  <c r="Q16" i="10"/>
  <c r="T16" i="10"/>
  <c r="M19" i="6"/>
  <c r="O12" i="10"/>
  <c r="Q12" i="10"/>
  <c r="T12" i="10"/>
  <c r="M15" i="6"/>
  <c r="O8" i="10"/>
  <c r="Q8" i="10"/>
  <c r="T8" i="10"/>
  <c r="M11" i="6"/>
  <c r="O11" i="10"/>
  <c r="Q11" i="10"/>
  <c r="T11" i="10"/>
  <c r="M14" i="6"/>
  <c r="O7" i="10"/>
  <c r="Q7" i="10"/>
  <c r="T7" i="10"/>
  <c r="M10" i="6"/>
  <c r="J10" i="10"/>
  <c r="O10" i="10"/>
  <c r="Q10" i="10"/>
  <c r="T10" i="10"/>
  <c r="M13" i="6"/>
  <c r="B16" i="9"/>
  <c r="D16" i="9"/>
  <c r="O29" i="10"/>
  <c r="Q29" i="10"/>
  <c r="T29" i="10"/>
  <c r="O28" i="10"/>
  <c r="Q28" i="10"/>
  <c r="T28" i="10"/>
  <c r="O27" i="10"/>
  <c r="Q27" i="10"/>
  <c r="T27" i="10"/>
  <c r="O26" i="10"/>
  <c r="Q26" i="10"/>
  <c r="T26" i="10"/>
  <c r="O25" i="10"/>
  <c r="Q25" i="10"/>
  <c r="T25" i="10"/>
  <c r="O22" i="10"/>
  <c r="Q22" i="10"/>
  <c r="T22" i="10"/>
  <c r="O23" i="10"/>
  <c r="Q23" i="10"/>
  <c r="T23" i="10"/>
  <c r="O24" i="10"/>
  <c r="Q24" i="10"/>
  <c r="T24" i="10"/>
  <c r="I17" i="6"/>
  <c r="I18" i="6"/>
  <c r="S15" i="10"/>
  <c r="L18" i="6"/>
  <c r="E23" i="8"/>
  <c r="F23" i="8"/>
  <c r="I21" i="6"/>
  <c r="S18" i="10"/>
  <c r="L21" i="6"/>
  <c r="R18" i="10"/>
  <c r="E24" i="8"/>
  <c r="F24" i="8"/>
  <c r="U14" i="10"/>
  <c r="N17" i="6"/>
  <c r="M17" i="6"/>
  <c r="U16" i="10"/>
  <c r="N19" i="6"/>
  <c r="U18" i="10"/>
  <c r="N21" i="6"/>
  <c r="M21" i="6"/>
  <c r="O9" i="10"/>
  <c r="Q9" i="10"/>
  <c r="T9" i="10"/>
  <c r="D15" i="9"/>
  <c r="A26" i="9"/>
  <c r="A18" i="9"/>
  <c r="E7" i="9"/>
  <c r="S21" i="10"/>
  <c r="L24" i="6"/>
  <c r="I20" i="6"/>
  <c r="I24" i="6"/>
  <c r="S20" i="10"/>
  <c r="L23" i="6"/>
  <c r="R8" i="10"/>
  <c r="R19" i="10"/>
  <c r="E15" i="8"/>
  <c r="F15" i="8"/>
  <c r="U19" i="10"/>
  <c r="N22" i="6"/>
  <c r="S19" i="10"/>
  <c r="L22" i="6"/>
  <c r="R16" i="10"/>
  <c r="E20" i="8"/>
  <c r="F20" i="8"/>
  <c r="U15" i="10"/>
  <c r="N18" i="6"/>
  <c r="I22" i="6"/>
  <c r="R15" i="10"/>
  <c r="S14" i="10"/>
  <c r="L17" i="6"/>
  <c r="U11" i="10"/>
  <c r="N14" i="6"/>
  <c r="E25" i="8"/>
  <c r="F25" i="8"/>
  <c r="E22" i="8"/>
  <c r="F22" i="8"/>
  <c r="E26" i="8"/>
  <c r="F26" i="8"/>
  <c r="R17" i="10"/>
  <c r="R6" i="10"/>
  <c r="U20" i="10"/>
  <c r="N23" i="6"/>
  <c r="U21" i="10"/>
  <c r="N24" i="6"/>
  <c r="U17" i="10"/>
  <c r="N20" i="6"/>
  <c r="R21" i="10"/>
  <c r="R20" i="10"/>
  <c r="S17" i="10"/>
  <c r="L20" i="6"/>
  <c r="E11" i="8"/>
  <c r="T13" i="10"/>
  <c r="M16" i="6"/>
  <c r="U13" i="10"/>
  <c r="N16" i="6"/>
  <c r="E21" i="8"/>
  <c r="F21" i="8"/>
  <c r="E19" i="8"/>
  <c r="F19" i="8"/>
  <c r="S7" i="10"/>
  <c r="L10" i="6"/>
  <c r="E13" i="8"/>
  <c r="F13" i="8"/>
  <c r="V18" i="10"/>
  <c r="K21" i="6"/>
  <c r="V20" i="10"/>
  <c r="W20" i="10"/>
  <c r="X20" i="10"/>
  <c r="O23" i="6"/>
  <c r="R14" i="10"/>
  <c r="E17" i="8"/>
  <c r="F17" i="8"/>
  <c r="U8" i="10"/>
  <c r="N11" i="6"/>
  <c r="S6" i="10"/>
  <c r="L9" i="6"/>
  <c r="S8" i="10"/>
  <c r="L11" i="6"/>
  <c r="E16" i="8"/>
  <c r="F16" i="8"/>
  <c r="U6" i="10"/>
  <c r="N9" i="6"/>
  <c r="I9" i="6"/>
  <c r="I11" i="6"/>
  <c r="I10" i="6"/>
  <c r="R11" i="10"/>
  <c r="R13" i="10"/>
  <c r="S11" i="10"/>
  <c r="L14" i="6"/>
  <c r="U12" i="10"/>
  <c r="N15" i="6"/>
  <c r="R12" i="10"/>
  <c r="R10" i="10"/>
  <c r="U7" i="10"/>
  <c r="N10" i="6"/>
  <c r="S12" i="10"/>
  <c r="L15" i="6"/>
  <c r="I23" i="6"/>
  <c r="I19" i="6"/>
  <c r="I15" i="6"/>
  <c r="I14" i="6"/>
  <c r="I13" i="6"/>
  <c r="R7" i="10"/>
  <c r="U10" i="10"/>
  <c r="N13" i="6"/>
  <c r="S16" i="10"/>
  <c r="L19" i="6"/>
  <c r="S10" i="10"/>
  <c r="L13" i="6"/>
  <c r="E12" i="8"/>
  <c r="F12" i="8"/>
  <c r="E18" i="8"/>
  <c r="F18" i="8"/>
  <c r="S13" i="10"/>
  <c r="I16" i="6"/>
  <c r="E34" i="8"/>
  <c r="F34" i="8"/>
  <c r="I32" i="6"/>
  <c r="U29" i="10"/>
  <c r="N32" i="6"/>
  <c r="M32" i="6"/>
  <c r="S29" i="10"/>
  <c r="L32" i="6"/>
  <c r="R29" i="10"/>
  <c r="E33" i="8"/>
  <c r="F33" i="8"/>
  <c r="I31" i="6"/>
  <c r="U28" i="10"/>
  <c r="N31" i="6"/>
  <c r="M31" i="6"/>
  <c r="S28" i="10"/>
  <c r="L31" i="6"/>
  <c r="R28" i="10"/>
  <c r="E32" i="8"/>
  <c r="F32" i="8"/>
  <c r="I30" i="6"/>
  <c r="U27" i="10"/>
  <c r="N30" i="6"/>
  <c r="M30" i="6"/>
  <c r="S27" i="10"/>
  <c r="L30" i="6"/>
  <c r="R27" i="10"/>
  <c r="E31" i="8"/>
  <c r="F31" i="8"/>
  <c r="I29" i="6"/>
  <c r="U26" i="10"/>
  <c r="N29" i="6"/>
  <c r="M29" i="6"/>
  <c r="S26" i="10"/>
  <c r="L29" i="6"/>
  <c r="R26" i="10"/>
  <c r="E30" i="8"/>
  <c r="F30" i="8"/>
  <c r="I28" i="6"/>
  <c r="U25" i="10"/>
  <c r="N28" i="6"/>
  <c r="M28" i="6"/>
  <c r="S25" i="10"/>
  <c r="L28" i="6"/>
  <c r="R25" i="10"/>
  <c r="E29" i="8"/>
  <c r="F29" i="8"/>
  <c r="I27" i="6"/>
  <c r="E28" i="8"/>
  <c r="F28" i="8"/>
  <c r="I26" i="6"/>
  <c r="E27" i="8"/>
  <c r="F27" i="8"/>
  <c r="I25" i="6"/>
  <c r="U24" i="10"/>
  <c r="N27" i="6"/>
  <c r="M27" i="6"/>
  <c r="S24" i="10"/>
  <c r="L27" i="6"/>
  <c r="R24" i="10"/>
  <c r="U23" i="10"/>
  <c r="N26" i="6"/>
  <c r="M26" i="6"/>
  <c r="S23" i="10"/>
  <c r="L26" i="6"/>
  <c r="R23" i="10"/>
  <c r="U22" i="10"/>
  <c r="N25" i="6"/>
  <c r="M25" i="6"/>
  <c r="S22" i="10"/>
  <c r="L25" i="6"/>
  <c r="R22" i="10"/>
  <c r="E14" i="8"/>
  <c r="F14" i="8"/>
  <c r="I12" i="6"/>
  <c r="S9" i="10"/>
  <c r="L12" i="6"/>
  <c r="R9" i="10"/>
  <c r="W18" i="10"/>
  <c r="X18" i="10"/>
  <c r="O21" i="6"/>
  <c r="U9" i="10"/>
  <c r="N12" i="6"/>
  <c r="M12" i="6"/>
  <c r="O5" i="10"/>
  <c r="Q5" i="10"/>
  <c r="T5" i="10"/>
  <c r="B18" i="9"/>
  <c r="D18" i="9"/>
  <c r="V21" i="10"/>
  <c r="V15" i="10"/>
  <c r="W15" i="10"/>
  <c r="X15" i="10"/>
  <c r="O18" i="6"/>
  <c r="V14" i="10"/>
  <c r="W14" i="10"/>
  <c r="X14" i="10"/>
  <c r="O17" i="6"/>
  <c r="V7" i="10"/>
  <c r="W7" i="10"/>
  <c r="X7" i="10"/>
  <c r="O10" i="6"/>
  <c r="W21" i="10"/>
  <c r="X21" i="10"/>
  <c r="O24" i="6"/>
  <c r="K24" i="6"/>
  <c r="V19" i="10"/>
  <c r="V6" i="10"/>
  <c r="K9" i="6"/>
  <c r="V17" i="10"/>
  <c r="V8" i="10"/>
  <c r="K23" i="6"/>
  <c r="K10" i="6"/>
  <c r="K18" i="6"/>
  <c r="V16" i="10"/>
  <c r="V12" i="10"/>
  <c r="K15" i="6"/>
  <c r="K17" i="6"/>
  <c r="V11" i="10"/>
  <c r="V9" i="10"/>
  <c r="K12" i="6"/>
  <c r="Z15" i="10"/>
  <c r="Q18" i="6"/>
  <c r="H18" i="6"/>
  <c r="V10" i="10"/>
  <c r="Z20" i="10"/>
  <c r="Q23" i="6"/>
  <c r="H23" i="6"/>
  <c r="V25" i="10"/>
  <c r="W25" i="10"/>
  <c r="X25" i="10"/>
  <c r="O28" i="6"/>
  <c r="V27" i="10"/>
  <c r="K30" i="6"/>
  <c r="V29" i="10"/>
  <c r="W29" i="10"/>
  <c r="X29" i="10"/>
  <c r="L16" i="6"/>
  <c r="V13" i="10"/>
  <c r="Z14" i="10"/>
  <c r="Q17" i="6"/>
  <c r="H17" i="6"/>
  <c r="Z18" i="10"/>
  <c r="Q21" i="6"/>
  <c r="H21" i="6"/>
  <c r="V22" i="10"/>
  <c r="K25" i="6"/>
  <c r="V23" i="10"/>
  <c r="W23" i="10"/>
  <c r="X23" i="10"/>
  <c r="V24" i="10"/>
  <c r="W24" i="10"/>
  <c r="X24" i="10"/>
  <c r="V26" i="10"/>
  <c r="K29" i="6"/>
  <c r="V28" i="10"/>
  <c r="W28" i="10"/>
  <c r="X28" i="10"/>
  <c r="K32" i="6"/>
  <c r="W27" i="10"/>
  <c r="X27" i="10"/>
  <c r="O30" i="6"/>
  <c r="E10" i="8"/>
  <c r="I8" i="6"/>
  <c r="S5" i="10"/>
  <c r="L8" i="6"/>
  <c r="R5" i="10"/>
  <c r="U5" i="10"/>
  <c r="N8" i="6"/>
  <c r="M8" i="6"/>
  <c r="E37" i="9"/>
  <c r="B23" i="9"/>
  <c r="B37" i="9"/>
  <c r="W12" i="10"/>
  <c r="X12" i="10"/>
  <c r="O15" i="6"/>
  <c r="Z7" i="10"/>
  <c r="Q10" i="6"/>
  <c r="H10" i="6"/>
  <c r="Z21" i="10"/>
  <c r="Q24" i="6"/>
  <c r="H24" i="6"/>
  <c r="W6" i="10"/>
  <c r="X6" i="10"/>
  <c r="O9" i="6"/>
  <c r="K22" i="6"/>
  <c r="W19" i="10"/>
  <c r="X19" i="10"/>
  <c r="K11" i="6"/>
  <c r="W8" i="10"/>
  <c r="X8" i="10"/>
  <c r="K20" i="6"/>
  <c r="W17" i="10"/>
  <c r="X17" i="10"/>
  <c r="W9" i="10"/>
  <c r="X9" i="10"/>
  <c r="O12" i="6"/>
  <c r="K28" i="6"/>
  <c r="W22" i="10"/>
  <c r="X22" i="10"/>
  <c r="O25" i="6"/>
  <c r="K31" i="6"/>
  <c r="K27" i="6"/>
  <c r="W16" i="10"/>
  <c r="X16" i="10"/>
  <c r="K19" i="6"/>
  <c r="W11" i="10"/>
  <c r="X11" i="10"/>
  <c r="K14" i="6"/>
  <c r="O27" i="6"/>
  <c r="Z24" i="10"/>
  <c r="Q27" i="6"/>
  <c r="K13" i="6"/>
  <c r="W10" i="10"/>
  <c r="X10" i="10"/>
  <c r="W26" i="10"/>
  <c r="X26" i="10"/>
  <c r="Z12" i="10"/>
  <c r="Q15" i="6"/>
  <c r="H15" i="6"/>
  <c r="O31" i="6"/>
  <c r="Z28" i="10"/>
  <c r="Q31" i="6"/>
  <c r="O26" i="6"/>
  <c r="Z23" i="10"/>
  <c r="Q26" i="6"/>
  <c r="O32" i="6"/>
  <c r="Z29" i="10"/>
  <c r="Q32" i="6"/>
  <c r="Z9" i="10"/>
  <c r="Q12" i="6"/>
  <c r="H12" i="6"/>
  <c r="K26" i="6"/>
  <c r="Z25" i="10"/>
  <c r="Q28" i="6"/>
  <c r="H28" i="6"/>
  <c r="W13" i="10"/>
  <c r="X13" i="10"/>
  <c r="K16" i="6"/>
  <c r="Z22" i="10"/>
  <c r="Q25" i="6"/>
  <c r="H25" i="6"/>
  <c r="Z27" i="10"/>
  <c r="Q30" i="6"/>
  <c r="H30" i="6"/>
  <c r="B24" i="9"/>
  <c r="F24" i="9"/>
  <c r="B28" i="9"/>
  <c r="F28" i="9"/>
  <c r="B27" i="9"/>
  <c r="F27" i="9"/>
  <c r="B26" i="9"/>
  <c r="F26" i="9"/>
  <c r="Z6" i="10"/>
  <c r="Q9" i="6"/>
  <c r="H9" i="6"/>
  <c r="O22" i="6"/>
  <c r="Z19" i="10"/>
  <c r="Q22" i="6"/>
  <c r="H22" i="6"/>
  <c r="O11" i="6"/>
  <c r="Z8" i="10"/>
  <c r="Q11" i="6"/>
  <c r="O20" i="6"/>
  <c r="Z17" i="10"/>
  <c r="Q20" i="6"/>
  <c r="H20" i="6"/>
  <c r="O19" i="6"/>
  <c r="Z16" i="10"/>
  <c r="Q19" i="6"/>
  <c r="O14" i="6"/>
  <c r="Z11" i="10"/>
  <c r="Q14" i="6"/>
  <c r="H14" i="6"/>
  <c r="O13" i="6"/>
  <c r="Z10" i="10"/>
  <c r="Q13" i="6"/>
  <c r="H27" i="6"/>
  <c r="O29" i="6"/>
  <c r="Z26" i="10"/>
  <c r="Q29" i="6"/>
  <c r="H26" i="6"/>
  <c r="O16" i="6"/>
  <c r="Z13" i="10"/>
  <c r="Q16" i="6"/>
  <c r="H32" i="6"/>
  <c r="H31" i="6"/>
  <c r="C37" i="9"/>
  <c r="B29" i="9"/>
  <c r="B31" i="9"/>
  <c r="F11" i="8"/>
  <c r="H19" i="6"/>
  <c r="H13" i="6"/>
  <c r="H11" i="6"/>
  <c r="H29" i="6"/>
  <c r="H16" i="6"/>
  <c r="B30" i="9"/>
  <c r="C30" i="9"/>
  <c r="E36" i="8"/>
  <c r="F10" i="8"/>
  <c r="F36" i="8"/>
  <c r="B40" i="8"/>
  <c r="E40" i="8"/>
  <c r="F30" i="9"/>
  <c r="F31" i="9"/>
  <c r="F37" i="9"/>
  <c r="F39" i="9"/>
  <c r="B48" i="8"/>
  <c r="E48" i="8"/>
  <c r="B47" i="8"/>
  <c r="E47" i="8"/>
  <c r="E49" i="8"/>
  <c r="B42" i="8"/>
  <c r="B39" i="8"/>
  <c r="V5" i="10"/>
  <c r="K8" i="6"/>
  <c r="W5" i="10"/>
  <c r="X5" i="10"/>
  <c r="O8" i="6"/>
  <c r="Z5" i="10"/>
  <c r="Q8" i="6"/>
  <c r="D37" i="9"/>
  <c r="E39" i="8"/>
  <c r="E41" i="8"/>
  <c r="E42" i="8"/>
  <c r="E43" i="8"/>
  <c r="H8" i="6"/>
  <c r="E45" i="8"/>
  <c r="E5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BAHIJ REDOUANE</author>
    <author>adam</author>
    <author>MEZIOUNI</author>
  </authors>
  <commentList>
    <comment ref="D10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MATRICULE: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ENTRER LE MATRICULE 
DU PERSONNEL
LES AUTRES INFORMATIONS S'AFFICHENT AUTOMATIQUEMENT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14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Salaire :</t>
        </r>
        <r>
          <rPr>
            <sz val="8"/>
            <color indexed="81"/>
            <rFont val="Tahoma"/>
            <family val="2"/>
          </rPr>
          <t xml:space="preserve">
Entrer le salaire de base et cliquer sur entrer
Pour Obtenir le SB à partir du SN Utiliser la valeur cible du menu Outils :
Choisir dans le 1 ref : le cellule du SN 
le 2 ref: tapez le SN choisi 
le 3 ref:cliquer sur le SB</t>
        </r>
      </text>
    </comment>
    <comment ref="D22" authorId="2" shapeId="0" xr:uid="{00000000-0006-0000-0500-000003000000}">
      <text>
        <r>
          <rPr>
            <b/>
            <sz val="8"/>
            <color indexed="81"/>
            <rFont val="Tahoma"/>
            <family val="2"/>
          </rPr>
          <t>MEZIOUNI:</t>
        </r>
        <r>
          <rPr>
            <sz val="8"/>
            <color indexed="81"/>
            <rFont val="Tahoma"/>
            <family val="2"/>
          </rPr>
          <t xml:space="preserve">
DOUBLE SALAIRE FIN DECEMBRE- IMPOS A L ANCIENNTE
</t>
        </r>
      </text>
    </comment>
    <comment ref="E32" authorId="2" shapeId="0" xr:uid="{00000000-0006-0000-0500-000004000000}">
      <text>
        <r>
          <rPr>
            <b/>
            <sz val="8"/>
            <color indexed="81"/>
            <rFont val="Tahoma"/>
            <family val="2"/>
          </rPr>
          <t>MEZIOUNI:</t>
        </r>
        <r>
          <rPr>
            <sz val="8"/>
            <color indexed="81"/>
            <rFont val="Tahoma"/>
            <family val="2"/>
          </rPr>
          <t xml:space="preserve">
ENTRER PRIME NON IMP A L ANCIENTE EX: BILAN
</t>
        </r>
      </text>
    </comment>
  </commentList>
</comments>
</file>

<file path=xl/sharedStrings.xml><?xml version="1.0" encoding="utf-8"?>
<sst xmlns="http://schemas.openxmlformats.org/spreadsheetml/2006/main" count="418" uniqueCount="288">
  <si>
    <t>Tableau des cotisations sociales</t>
  </si>
  <si>
    <t xml:space="preserve">Élément  </t>
  </si>
  <si>
    <t xml:space="preserve">Entreprise  </t>
  </si>
  <si>
    <t xml:space="preserve">Salarié  </t>
  </si>
  <si>
    <t xml:space="preserve">Total  </t>
  </si>
  <si>
    <t xml:space="preserve">Observations  </t>
  </si>
  <si>
    <t xml:space="preserve">Cotisations d’allocations familiales </t>
  </si>
  <si>
    <t xml:space="preserve">Sans plafond </t>
  </si>
  <si>
    <t>Cotisations pour prestations sociales (A court terme)</t>
  </si>
  <si>
    <t xml:space="preserve">Plafonnée 6.000,00 </t>
  </si>
  <si>
    <t>Cotisations pour prestations sociales (A long terme)</t>
  </si>
  <si>
    <t xml:space="preserve">Taxe de formation professionnelle </t>
  </si>
  <si>
    <t>Sans plafond</t>
  </si>
  <si>
    <t xml:space="preserve">Assurance maladie obligatoire  </t>
  </si>
  <si>
    <t>PRIMES D'ANCIENNETE :</t>
  </si>
  <si>
    <r>
      <t>•</t>
    </r>
    <r>
      <rPr>
        <b/>
        <sz val="14"/>
        <color rgb="FF000000"/>
        <rFont val="Times New Roman"/>
        <family val="1"/>
      </rPr>
      <t>5% du salaire payé après 2ans de service;</t>
    </r>
  </si>
  <si>
    <r>
      <t>•</t>
    </r>
    <r>
      <rPr>
        <b/>
        <sz val="14"/>
        <color rgb="FF000000"/>
        <rFont val="Times New Roman"/>
        <family val="1"/>
      </rPr>
      <t>10% du salaire payé après 5 ans de service;</t>
    </r>
  </si>
  <si>
    <r>
      <t>•</t>
    </r>
    <r>
      <rPr>
        <b/>
        <sz val="14"/>
        <color rgb="FF000000"/>
        <rFont val="Times New Roman"/>
        <family val="1"/>
      </rPr>
      <t>15% du salaire payé après 12 ans de service;</t>
    </r>
  </si>
  <si>
    <r>
      <t>•</t>
    </r>
    <r>
      <rPr>
        <b/>
        <sz val="14"/>
        <color rgb="FF000000"/>
        <rFont val="Times New Roman"/>
        <family val="1"/>
      </rPr>
      <t>20% du salaire payé après 20 ans de service;</t>
    </r>
  </si>
  <si>
    <r>
      <t>•</t>
    </r>
    <r>
      <rPr>
        <b/>
        <sz val="14"/>
        <color rgb="FF000000"/>
        <rFont val="Times New Roman"/>
        <family val="1"/>
      </rPr>
      <t>25% du salaire payé après 25 ans de service;</t>
    </r>
  </si>
  <si>
    <t>Le salaire brut imposables</t>
  </si>
  <si>
    <t>(+) salaire de base</t>
  </si>
  <si>
    <t>(+) primes et indemnités imposables</t>
  </si>
  <si>
    <t>Les allocations familiales</t>
  </si>
  <si>
    <t>Tranches de revenu</t>
  </si>
  <si>
    <t>0 - 2 500.00</t>
  </si>
  <si>
    <t>2501.00 – 4 166.67</t>
  </si>
  <si>
    <t>4166.68 – 5 000.00</t>
  </si>
  <si>
    <t>5001.00 – 6 666.67</t>
  </si>
  <si>
    <t>6666.68 – 15 000.00</t>
  </si>
  <si>
    <t>15000.00 – ET PLUS</t>
  </si>
  <si>
    <t>Frais de déplacement justifiés</t>
  </si>
  <si>
    <t xml:space="preserve">Allocations familiales </t>
  </si>
  <si>
    <t>Total</t>
  </si>
  <si>
    <t xml:space="preserve">Salaire Brut imposable </t>
  </si>
  <si>
    <t>AMO</t>
  </si>
  <si>
    <t>CIMR</t>
  </si>
  <si>
    <t>Eléments Exonerés</t>
  </si>
  <si>
    <t>ADRESSE</t>
  </si>
  <si>
    <t>PLAFOND</t>
  </si>
  <si>
    <t>CNSS</t>
  </si>
  <si>
    <t>TAUX CIMR</t>
  </si>
  <si>
    <t>TRANCHE</t>
  </si>
  <si>
    <t>TAUX</t>
  </si>
  <si>
    <t>TAUX CNSS</t>
  </si>
  <si>
    <t xml:space="preserve">TAUX AMO </t>
  </si>
  <si>
    <t>FRAIS PROFESSIONNELS</t>
  </si>
  <si>
    <t>COTI. ALLOC FAMILIALES</t>
  </si>
  <si>
    <t>PREST. SOCIALES</t>
  </si>
  <si>
    <t>FORMATION PROF.</t>
  </si>
  <si>
    <t>COT. SALARIALE</t>
  </si>
  <si>
    <t>DEDUCT./ PERSONNE</t>
  </si>
  <si>
    <t>TAUX ANCIENNETE</t>
  </si>
  <si>
    <t>SOMME A DEDUIRE</t>
  </si>
  <si>
    <t>TAUX FRAIS PROF.</t>
  </si>
  <si>
    <t xml:space="preserve">                         BAREME DE L'IR MENSUEL</t>
  </si>
  <si>
    <t>PARAMETRAGE DE LA PAIE</t>
  </si>
  <si>
    <t>SALAIRE DE BASE</t>
  </si>
  <si>
    <t>Nom du salarié</t>
  </si>
  <si>
    <t>Fonction</t>
  </si>
  <si>
    <t>Date 
d'embauche</t>
  </si>
  <si>
    <t>Situation 
familiale</t>
  </si>
  <si>
    <t>Nbre  de 
déduction</t>
  </si>
  <si>
    <t>Jours de
 travail</t>
  </si>
  <si>
    <t>Salaire brut 
global</t>
  </si>
  <si>
    <t>Salaire brut 
imposable</t>
  </si>
  <si>
    <t>salaire brut 
imposable plafonné</t>
  </si>
  <si>
    <t>Salaire net
 imposable</t>
  </si>
  <si>
    <t>Retenues sur salaires</t>
  </si>
  <si>
    <t>Salaire net 
à payer</t>
  </si>
  <si>
    <t>IR</t>
  </si>
  <si>
    <t>Technicien</t>
  </si>
  <si>
    <t>TOTAUX</t>
  </si>
  <si>
    <t>COTISATION AMO (PART SAL)</t>
  </si>
  <si>
    <t>COTISATION AMO (PART PATR)</t>
  </si>
  <si>
    <t>PARTICIPATION AMO (PART PATR)</t>
  </si>
  <si>
    <t>MOIS</t>
  </si>
  <si>
    <t>Gérant</t>
  </si>
  <si>
    <t>Forme Juridique</t>
  </si>
  <si>
    <t>SARL</t>
  </si>
  <si>
    <t>CIN</t>
  </si>
  <si>
    <t>Objet</t>
  </si>
  <si>
    <t>TRAVAUX DIVERS</t>
  </si>
  <si>
    <t>Régime TVA</t>
  </si>
  <si>
    <t>ENCAISSEMENT</t>
  </si>
  <si>
    <t>Capital</t>
  </si>
  <si>
    <t>Régime imposition</t>
  </si>
  <si>
    <t>IS</t>
  </si>
  <si>
    <t>Frais professionnel</t>
  </si>
  <si>
    <t>N° PATENTE</t>
  </si>
  <si>
    <t>N° IF :</t>
  </si>
  <si>
    <t>N° RC :</t>
  </si>
  <si>
    <t>N° D'AFFILIATION CNSS</t>
  </si>
  <si>
    <t>Part patronale</t>
  </si>
  <si>
    <t>Part salariale</t>
  </si>
  <si>
    <t>Agence</t>
  </si>
  <si>
    <t>N°CIMR :</t>
  </si>
  <si>
    <t>N° ASSURANCE :</t>
  </si>
  <si>
    <t>Siége social :</t>
  </si>
  <si>
    <t>Tél</t>
  </si>
  <si>
    <t>Fax</t>
  </si>
  <si>
    <t>Ville</t>
  </si>
  <si>
    <t>Code postale</t>
  </si>
  <si>
    <t>Direction travaux</t>
  </si>
  <si>
    <t>site web</t>
  </si>
  <si>
    <t>E MAIL</t>
  </si>
  <si>
    <t>AGENCE BANCAIRE 1</t>
  </si>
  <si>
    <t xml:space="preserve">BANQUE POPULAIRE </t>
  </si>
  <si>
    <t>N° Compte</t>
  </si>
  <si>
    <t>CODE</t>
  </si>
  <si>
    <t>AGENCE BANCAIRE 2</t>
  </si>
  <si>
    <t>AGENCE BANCAIRE 3</t>
  </si>
  <si>
    <t>Prestations sociales</t>
  </si>
  <si>
    <t>Date embauche</t>
  </si>
  <si>
    <t>Date naiss</t>
  </si>
  <si>
    <t>Situation de fam</t>
  </si>
  <si>
    <t>C</t>
  </si>
  <si>
    <t>M</t>
  </si>
  <si>
    <t>Comptable</t>
  </si>
  <si>
    <t>Type de contrat</t>
  </si>
  <si>
    <t>CDD</t>
  </si>
  <si>
    <t>CDI</t>
  </si>
  <si>
    <t xml:space="preserve">Paie du 
mois </t>
  </si>
  <si>
    <t>HORAIRE 
SOCIETE</t>
  </si>
  <si>
    <t>MOIS DE VERSEMENT :</t>
  </si>
  <si>
    <t>NOM &amp; PRENOM</t>
  </si>
  <si>
    <t>MATRICULE  CNSS</t>
  </si>
  <si>
    <t>DATE   D'ENTREE</t>
  </si>
  <si>
    <t>NOMBRE DE JOURS
TRAVAILLES</t>
  </si>
  <si>
    <t>SALAIRES BRUT PERCUS</t>
  </si>
  <si>
    <t>SANS LIMITATION
DE PLAFOND</t>
  </si>
  <si>
    <t>DANS LA LIMITE
DU PLAFOND</t>
  </si>
  <si>
    <t>TOTAL</t>
  </si>
  <si>
    <t>NATURE DES PRESTATIONS</t>
  </si>
  <si>
    <t>MASSES   SALARIALES</t>
  </si>
  <si>
    <t>MONTANT</t>
  </si>
  <si>
    <t>Allocations familliales</t>
  </si>
  <si>
    <t>TOTAL DES COTISATIONS CNSS VERSEES</t>
  </si>
  <si>
    <t xml:space="preserve">                                 </t>
  </si>
  <si>
    <t>TFP</t>
  </si>
  <si>
    <t>TFP VERSEE</t>
  </si>
  <si>
    <t>MONTANT TOTAL DES VERSEMENTS A CNSS</t>
  </si>
  <si>
    <t>Participation AMO</t>
  </si>
  <si>
    <t>Cotisation AMO</t>
  </si>
  <si>
    <t>TOTAL DES COTISATIONS AMO VERSEES</t>
  </si>
  <si>
    <t>MONTANT GLOBAL DES VERSEMENTS</t>
  </si>
  <si>
    <t>**** congé annuel payé est de 1 jour et demi ouvrable par mois et 2 jours pour les moins de 18 ans</t>
  </si>
  <si>
    <t>MATRICULE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</si>
  <si>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</si>
  <si>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</si>
  <si>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</si>
  <si>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</si>
  <si>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</si>
  <si>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</si>
  <si>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</si>
  <si>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</si>
  <si>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</si>
  <si>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Commercial</t>
  </si>
  <si>
    <t>BULLETIN  DE  PAIE</t>
  </si>
  <si>
    <t>DATE ACTUELLE</t>
  </si>
  <si>
    <t>D SERVICE</t>
  </si>
  <si>
    <t>NOM ET PRENOM</t>
  </si>
  <si>
    <t>DATE EMBAUCHE</t>
  </si>
  <si>
    <t>N° CNSS</t>
  </si>
  <si>
    <t>DATE NAISSANCE</t>
  </si>
  <si>
    <t>SF</t>
  </si>
  <si>
    <t>DEDUT.</t>
  </si>
  <si>
    <t>PERIODE DE PAIE</t>
  </si>
  <si>
    <t>RUBRIQUE</t>
  </si>
  <si>
    <t>BASE</t>
  </si>
  <si>
    <t>GAIN</t>
  </si>
  <si>
    <t>RETENUE</t>
  </si>
  <si>
    <t>13° MOIS</t>
  </si>
  <si>
    <t>PRIME DE TRANSPORT</t>
  </si>
  <si>
    <t>CUM JOURS
TRAVAIL</t>
  </si>
  <si>
    <t>CUMUL
BASE IMPOSABLE</t>
  </si>
  <si>
    <t>CUMUL 
RETENUE IGR</t>
  </si>
  <si>
    <t>TOTAL GAINS</t>
  </si>
  <si>
    <t>TOTAL RETENUES</t>
  </si>
  <si>
    <t>NET A PAYER</t>
  </si>
  <si>
    <t>RAISON SOCIALE :</t>
  </si>
  <si>
    <t>N° AFF. CNSS :</t>
  </si>
  <si>
    <t>N° ID. FISCAL :</t>
  </si>
  <si>
    <t>xxxxxxxxxxxxxx</t>
  </si>
  <si>
    <t>SIEGE SOCIAL :</t>
  </si>
  <si>
    <t>FONCTION</t>
  </si>
  <si>
    <t>Nom &amp; Prénom</t>
  </si>
  <si>
    <t>HEURES SUPPLEMENTAIRES 
CALCUL</t>
  </si>
  <si>
    <t>SALAIRE
SOCIETE</t>
  </si>
  <si>
    <t>LES HEURES SUPPLEMENTAIRES SONT CALCULES AU TAUX DE 25%</t>
  </si>
  <si>
    <t>HEURES
TRAVAILLES
NORMALES</t>
  </si>
  <si>
    <t>HEURES
TRAVAILLES (JRS FERIES)</t>
  </si>
  <si>
    <t>La durée du congé annuel est augmentée à raison d’un jour et demi ouvrable par période entière, continue ou non, de 5 années de services. Sans que cette augmentation puisse porter la durée totale du congé à plus de 30 jours de travail effectif.</t>
  </si>
  <si>
    <t>NBRE
 DEDUCT°</t>
  </si>
  <si>
    <t xml:space="preserve">HEURES SUPPLEMENTAIRES 
</t>
  </si>
  <si>
    <t>AVANCE SUR SALAIRE</t>
  </si>
  <si>
    <t xml:space="preserve">CUMUL 
RETENUE </t>
  </si>
  <si>
    <t>AVANCE 
SUR SALAIRE</t>
  </si>
  <si>
    <t>S010</t>
  </si>
  <si>
    <t>S011</t>
  </si>
  <si>
    <t>S012</t>
  </si>
  <si>
    <t>S013</t>
  </si>
  <si>
    <t>S014</t>
  </si>
  <si>
    <t>S015</t>
  </si>
  <si>
    <t>S016</t>
  </si>
  <si>
    <t>S017</t>
  </si>
  <si>
    <t>Coursier</t>
  </si>
  <si>
    <t>ouvrier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</si>
  <si>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</si>
  <si>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</si>
  <si>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</si>
  <si>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</si>
  <si>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</si>
  <si>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</si>
  <si>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</si>
  <si>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</si>
  <si>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</si>
  <si>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</si>
  <si>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</si>
  <si>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</si>
  <si>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SANS</t>
  </si>
  <si>
    <t>CONGE PAYE</t>
  </si>
  <si>
    <t>ABSENCE
NBRE HEURES</t>
  </si>
  <si>
    <t>CONGE 
PAYE NBRE HEURES</t>
  </si>
  <si>
    <t>SALAIRE
HORAIRE</t>
  </si>
  <si>
    <t xml:space="preserve">CONGE
 PAYE NBRE HEURES
</t>
  </si>
  <si>
    <t>CALCUL</t>
  </si>
  <si>
    <t>SALAIRE HORAIRE</t>
  </si>
  <si>
    <t>HEURES SUPP. 25%</t>
  </si>
  <si>
    <t>HEURES SUPP. 50%</t>
  </si>
  <si>
    <t>HEURES SUPP. 100%</t>
  </si>
  <si>
    <t>REP / CONGE PAYE</t>
  </si>
  <si>
    <t>TYPE DE CONTRAT</t>
  </si>
  <si>
    <t>SALAIRE BRUT IMP.</t>
  </si>
  <si>
    <t>FRAIS PROFESSION.</t>
  </si>
  <si>
    <t>INDEMNITE</t>
  </si>
  <si>
    <t>ANCIENNETE 
EN MOIS</t>
  </si>
  <si>
    <t>DATE 
EDITION DE LA PAIE</t>
  </si>
  <si>
    <t>SALAIRE NET IMP.</t>
  </si>
  <si>
    <t>Avance 
ou acompte</t>
  </si>
  <si>
    <t>Code</t>
  </si>
  <si>
    <t>IR NET</t>
  </si>
  <si>
    <t xml:space="preserve">Dénomination </t>
  </si>
  <si>
    <t>SOMMAIRE</t>
  </si>
  <si>
    <t>ANCIENNETE</t>
  </si>
  <si>
    <t>INDEMNITE
DE FONCTION</t>
  </si>
  <si>
    <t>SALAIRE BRUT IMPOSABLE</t>
  </si>
  <si>
    <t>FRAIS PROFESS.</t>
  </si>
  <si>
    <t>SALAIRE NET MPOSABLE</t>
  </si>
  <si>
    <t>FRAIS DE TRANSPORT</t>
  </si>
  <si>
    <t>SOLDE HEURES SUPPLEM.</t>
  </si>
  <si>
    <t>CETTE FEUILLE A MODIFER EN CAS DE CHANGEMENT</t>
  </si>
  <si>
    <t>CETTE FEUILLE A NE PAS TOUCHER</t>
  </si>
  <si>
    <t>la modification sera faite sur la feuille FICHE SALARIES</t>
  </si>
  <si>
    <t>VS POUVEZ FAIRE MODIFICATION AU NIVEAU DU NOM; FONCTION ….SAUF LE MATRICULE A NE PAS TOUCHER</t>
  </si>
  <si>
    <t>S018</t>
  </si>
  <si>
    <t>S019</t>
  </si>
  <si>
    <t>S020</t>
  </si>
  <si>
    <t>S021</t>
  </si>
  <si>
    <t>S022</t>
  </si>
  <si>
    <t>S023</t>
  </si>
  <si>
    <t>S024</t>
  </si>
  <si>
    <t>S025</t>
  </si>
  <si>
    <t xml:space="preserve">HEURES
TRAVAILLES </t>
  </si>
  <si>
    <t xml:space="preserve">Livre de paie du mois </t>
  </si>
  <si>
    <t>NE MODIFIER ICI QUE LE MOIS DE VERSEMENT QUI VA ETRE AFFICHE SUR LA FEUILLE LIVRE DE PAIE</t>
  </si>
  <si>
    <t>NE PAS AJOUTER DES COLONNES</t>
  </si>
  <si>
    <t>SI VOUS N'AVEZ PAS BESOIN DE (CIMR) VOUS POUVEZ LE MASQUER</t>
  </si>
  <si>
    <t>ET METTRE 0 DANS SA BASE POUR NE PAS ETRE IMPUTE SUR LE NET;</t>
  </si>
  <si>
    <t>SI VOUS N'AVEZ PAS BESOIN DE (CIMR) VOUS POUVEZ METTRE</t>
  </si>
  <si>
    <t>METTRE 0 DANS TOUTE SA COLONNE POUR NE PAS ETRE IMPUTE SUR LE NET;</t>
  </si>
  <si>
    <t>et ce dans la limité de 30.000,00 dh par an (2.500,00dh par mois);</t>
  </si>
  <si>
    <t>Le montant des allocations familiales est de 300dh pour les trois premiers enfants et de 36dh pour les trois suivants.</t>
  </si>
  <si>
    <t xml:space="preserve">Les frais professionnels évalués forfaitairement à 20% du SBI non compris les avantages en nature et en argent, </t>
  </si>
  <si>
    <t>G 0000</t>
  </si>
  <si>
    <t>XXXXX</t>
  </si>
  <si>
    <t>XXXXXX</t>
  </si>
  <si>
    <t>000000</t>
  </si>
  <si>
    <t>KENITRE</t>
  </si>
  <si>
    <t>KENITRA</t>
  </si>
  <si>
    <t>SALMI AMIN</t>
  </si>
  <si>
    <t>ABDNABI LBAYAD</t>
  </si>
  <si>
    <t>AMIN AMIN</t>
  </si>
  <si>
    <t>ACHRAF LKHAL</t>
  </si>
  <si>
    <t>ADIL ADIL</t>
  </si>
  <si>
    <t>POUR VOIR LE BULLETIN DE CHAQUE EMPLOYE OU OUVRIER;</t>
  </si>
  <si>
    <t xml:space="preserve"> IL SUFFIT DE CHOISIR LE CODE DEMANDE AU NIVEAU DU MATRICULE DANS LA LISTE DEROULANTE.</t>
  </si>
  <si>
    <t>CASABLANCA le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</si>
</sst>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_€_-;\-* #,##0.00\ _€_-;_-* &quot;-&quot;??\ _€_-;_-@_-"/>
    <numFmt numFmtId="165" formatCode="_-* #,##0.00\ _F_-;\-* #,##0.00\ _F_-;_-* &quot;-&quot;??\ _F_-;_-@_-"/>
    <numFmt numFmtId="166" formatCode="mm\-yyyy"/>
    <numFmt numFmtId="167" formatCode="mmmm\-yy"/>
    <numFmt numFmtId="168" formatCode="0&quot;DH&quot;"/>
    <numFmt numFmtId="169" formatCode="00000"/>
    <numFmt numFmtId="170" formatCode="[$-40C]mmmm\-yy;@"/>
    <numFmt numFmtId="171" formatCode="#,##0.00;[Red]#,##0.00"/>
    <numFmt numFmtId="172" formatCode="#,##0.00_ ;\-#,##0.00\ "/>
    <numFmt numFmtId="173" formatCode="0.00_ ;\-0.00\ "/>
    <numFmt numFmtId="174" formatCode="[$-F800]dddd\,\ mmmm\ dd\,\ yyyy"/>
  </numFmts>
  <fonts count="54" x14ac:knownFonts="1">
    <font>
      <sz val="11"/>
      <color theme="1"/>
      <name val="Calibri"/>
      <family val="2"/>
      <scheme val="minor"/>
    </font>
    <font>
      <sz val="14"/>
      <color rgb="FF000000"/>
      <name val="Arial Black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3.5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63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e_AlArabiya"/>
      <family val="1"/>
    </font>
    <font>
      <b/>
      <sz val="11"/>
      <color indexed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6"/>
      <name val="ABO SLMAN Alomar  منقط  1"/>
      <charset val="178"/>
    </font>
    <font>
      <b/>
      <i/>
      <u/>
      <sz val="10"/>
      <name val="Arial"/>
      <family val="2"/>
    </font>
    <font>
      <sz val="12"/>
      <name val="LucidaGrande"/>
    </font>
    <font>
      <b/>
      <sz val="9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0"/>
      <name val="Century Gothic"/>
      <family val="2"/>
    </font>
    <font>
      <b/>
      <sz val="14"/>
      <color indexed="62"/>
      <name val="Century Gothic"/>
      <family val="2"/>
    </font>
    <font>
      <b/>
      <sz val="10"/>
      <color indexed="9"/>
      <name val="Century Gothic"/>
      <family val="2"/>
    </font>
    <font>
      <b/>
      <sz val="10"/>
      <name val="Tahoma"/>
      <family val="2"/>
    </font>
    <font>
      <b/>
      <sz val="10"/>
      <name val="Times New Roman"/>
      <family val="1"/>
    </font>
    <font>
      <b/>
      <sz val="7"/>
      <color indexed="9"/>
      <name val="Century Gothic"/>
      <family val="2"/>
    </font>
    <font>
      <b/>
      <sz val="6"/>
      <color indexed="9"/>
      <name val="Century Gothic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9"/>
      <color rgb="FFFF0000"/>
      <name val="Arial"/>
      <family val="2"/>
    </font>
    <font>
      <sz val="14"/>
      <name val="Times New Roman"/>
      <family val="1"/>
    </font>
    <font>
      <b/>
      <sz val="18"/>
      <color theme="1"/>
      <name val="Calibri"/>
      <family val="2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EEFDD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4" tint="0.39997558519241921"/>
        <bgColor auto="1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auto="1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rgb="FFFF0000"/>
        <bgColor auto="1"/>
      </patternFill>
    </fill>
    <fill>
      <patternFill patternType="solid">
        <fgColor rgb="FFFFC00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auto="1"/>
      </patternFill>
    </fill>
    <fill>
      <patternFill patternType="solid">
        <fgColor theme="6" tint="0.79998168889431442"/>
        <bgColor auto="1"/>
      </patternFill>
    </fill>
  </fills>
  <borders count="8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slantDashDot">
        <color rgb="FFFFFFFF"/>
      </left>
      <right style="slantDashDot">
        <color rgb="FFFFFFFF"/>
      </right>
      <top/>
      <bottom style="slantDashDot">
        <color rgb="FFFFFFFF"/>
      </bottom>
      <diagonal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4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8"/>
      </bottom>
      <diagonal/>
    </border>
    <border>
      <left style="thick">
        <color indexed="48"/>
      </left>
      <right/>
      <top style="thick">
        <color indexed="4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48"/>
      </top>
      <bottom style="thin">
        <color indexed="9"/>
      </bottom>
      <diagonal/>
    </border>
    <border>
      <left style="thin">
        <color indexed="9"/>
      </left>
      <right style="thick">
        <color indexed="48"/>
      </right>
      <top style="thick">
        <color indexed="48"/>
      </top>
      <bottom style="thin">
        <color indexed="9"/>
      </bottom>
      <diagonal/>
    </border>
    <border>
      <left style="thick">
        <color indexed="48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48"/>
      </right>
      <top style="thin">
        <color indexed="9"/>
      </top>
      <bottom style="thin">
        <color indexed="9"/>
      </bottom>
      <diagonal/>
    </border>
    <border>
      <left style="thin">
        <color indexed="48"/>
      </left>
      <right/>
      <top style="thin">
        <color indexed="9"/>
      </top>
      <bottom style="thin">
        <color indexed="9"/>
      </bottom>
      <diagonal/>
    </border>
    <border>
      <left style="thin">
        <color indexed="48"/>
      </left>
      <right style="thin">
        <color indexed="48"/>
      </right>
      <top style="thin">
        <color indexed="9"/>
      </top>
      <bottom style="thin">
        <color indexed="9"/>
      </bottom>
      <diagonal/>
    </border>
    <border>
      <left style="thin">
        <color indexed="48"/>
      </left>
      <right style="thick">
        <color indexed="48"/>
      </right>
      <top style="thin">
        <color indexed="9"/>
      </top>
      <bottom style="thin">
        <color indexed="9"/>
      </bottom>
      <diagonal/>
    </border>
    <border>
      <left style="thick">
        <color indexed="4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ck">
        <color indexed="48"/>
      </right>
      <top style="thin">
        <color indexed="9"/>
      </top>
      <bottom style="thin">
        <color indexed="48"/>
      </bottom>
      <diagonal/>
    </border>
    <border>
      <left style="thick">
        <color indexed="48"/>
      </left>
      <right style="thin">
        <color indexed="48"/>
      </right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9"/>
      </top>
      <bottom/>
      <diagonal/>
    </border>
    <border>
      <left style="thin">
        <color indexed="48"/>
      </left>
      <right style="thick">
        <color indexed="48"/>
      </right>
      <top style="thin">
        <color indexed="9"/>
      </top>
      <bottom/>
      <diagonal/>
    </border>
    <border>
      <left style="thick">
        <color indexed="48"/>
      </left>
      <right/>
      <top style="thick">
        <color indexed="48"/>
      </top>
      <bottom style="thick">
        <color indexed="48"/>
      </bottom>
      <diagonal/>
    </border>
    <border>
      <left/>
      <right style="thin">
        <color indexed="9"/>
      </right>
      <top style="thick">
        <color indexed="48"/>
      </top>
      <bottom style="thick">
        <color indexed="48"/>
      </bottom>
      <diagonal/>
    </border>
    <border>
      <left style="thin">
        <color indexed="9"/>
      </left>
      <right style="thin">
        <color indexed="9"/>
      </right>
      <top style="thick">
        <color indexed="48"/>
      </top>
      <bottom style="thick">
        <color indexed="48"/>
      </bottom>
      <diagonal/>
    </border>
    <border>
      <left style="thin">
        <color indexed="9"/>
      </left>
      <right/>
      <top style="thick">
        <color indexed="48"/>
      </top>
      <bottom style="thick">
        <color indexed="48"/>
      </bottom>
      <diagonal/>
    </border>
    <border>
      <left style="thin">
        <color indexed="9"/>
      </left>
      <right style="thick">
        <color indexed="48"/>
      </right>
      <top style="thick">
        <color indexed="48"/>
      </top>
      <bottom style="thick">
        <color indexed="48"/>
      </bottom>
      <diagonal/>
    </border>
    <border>
      <left/>
      <right style="thin">
        <color indexed="48"/>
      </right>
      <top style="thick">
        <color indexed="48"/>
      </top>
      <bottom style="thin">
        <color indexed="9"/>
      </bottom>
      <diagonal/>
    </border>
    <border>
      <left style="thin">
        <color indexed="48"/>
      </left>
      <right/>
      <top/>
      <bottom style="thin">
        <color indexed="9"/>
      </bottom>
      <diagonal/>
    </border>
    <border>
      <left style="thin">
        <color indexed="48"/>
      </left>
      <right/>
      <top style="thick">
        <color indexed="48"/>
      </top>
      <bottom style="thin">
        <color indexed="9"/>
      </bottom>
      <diagonal/>
    </border>
    <border>
      <left style="thin">
        <color indexed="48"/>
      </left>
      <right style="thick">
        <color indexed="48"/>
      </right>
      <top/>
      <bottom style="thin">
        <color indexed="9"/>
      </bottom>
      <diagonal/>
    </border>
    <border>
      <left style="thin">
        <color indexed="39"/>
      </left>
      <right style="thin">
        <color indexed="48"/>
      </right>
      <top style="thin">
        <color indexed="9"/>
      </top>
      <bottom style="thin">
        <color indexed="9"/>
      </bottom>
      <diagonal/>
    </border>
    <border>
      <left style="thick">
        <color indexed="48"/>
      </left>
      <right style="thin">
        <color indexed="48"/>
      </right>
      <top style="thin">
        <color indexed="9"/>
      </top>
      <bottom style="thin">
        <color indexed="9"/>
      </bottom>
      <diagonal/>
    </border>
    <border>
      <left style="thick">
        <color indexed="4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ck">
        <color indexed="48"/>
      </right>
      <top style="thin">
        <color indexed="9"/>
      </top>
      <bottom/>
      <diagonal/>
    </border>
    <border>
      <left style="thick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 style="thick">
        <color indexed="48"/>
      </right>
      <top style="thin">
        <color indexed="48"/>
      </top>
      <bottom/>
      <diagonal/>
    </border>
    <border>
      <left style="thick">
        <color indexed="48"/>
      </left>
      <right/>
      <top style="thick">
        <color indexed="48"/>
      </top>
      <bottom/>
      <diagonal/>
    </border>
    <border>
      <left/>
      <right/>
      <top style="thick">
        <color indexed="48"/>
      </top>
      <bottom/>
      <diagonal/>
    </border>
    <border>
      <left/>
      <right style="thick">
        <color indexed="48"/>
      </right>
      <top style="thick">
        <color indexed="48"/>
      </top>
      <bottom/>
      <diagonal/>
    </border>
    <border>
      <left style="thick">
        <color indexed="48"/>
      </left>
      <right style="thick">
        <color indexed="48"/>
      </right>
      <top style="thick">
        <color indexed="48"/>
      </top>
      <bottom style="thick">
        <color indexed="48"/>
      </bottom>
      <diagonal/>
    </border>
    <border>
      <left style="thick">
        <color indexed="48"/>
      </left>
      <right/>
      <top/>
      <bottom style="thick">
        <color indexed="48"/>
      </bottom>
      <diagonal/>
    </border>
    <border>
      <left/>
      <right style="thick">
        <color indexed="48"/>
      </right>
      <top/>
      <bottom style="thick">
        <color indexed="4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48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ck">
        <color indexed="48"/>
      </left>
      <right/>
      <top style="thin">
        <color indexed="9"/>
      </top>
      <bottom/>
      <diagonal/>
    </border>
    <border>
      <left style="thin">
        <color indexed="48"/>
      </left>
      <right/>
      <top/>
      <bottom/>
      <diagonal/>
    </border>
    <border>
      <left/>
      <right style="thin">
        <color indexed="48"/>
      </right>
      <top/>
      <bottom/>
      <diagonal/>
    </border>
    <border>
      <left/>
      <right style="thin">
        <color indexed="48"/>
      </right>
      <top/>
      <bottom style="thin">
        <color indexed="9"/>
      </bottom>
      <diagonal/>
    </border>
    <border>
      <left style="thin">
        <color indexed="48"/>
      </left>
      <right/>
      <top style="thin">
        <color indexed="9"/>
      </top>
      <bottom/>
      <diagonal/>
    </border>
    <border>
      <left/>
      <right style="thin">
        <color indexed="48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3">
    <xf numFmtId="0" fontId="0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39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Fill="1"/>
    <xf numFmtId="0" fontId="5" fillId="0" borderId="6" xfId="0" applyFont="1" applyBorder="1"/>
    <xf numFmtId="0" fontId="0" fillId="0" borderId="0" xfId="0" applyBorder="1"/>
    <xf numFmtId="0" fontId="4" fillId="0" borderId="0" xfId="0" applyFont="1" applyFill="1" applyBorder="1" applyAlignment="1">
      <alignment horizontal="right" vertical="top" wrapText="1" readingOrder="1"/>
    </xf>
    <xf numFmtId="0" fontId="2" fillId="0" borderId="0" xfId="0" applyFont="1" applyFill="1" applyBorder="1" applyAlignment="1">
      <alignment horizontal="left" vertical="top" wrapText="1" readingOrder="1"/>
    </xf>
    <xf numFmtId="10" fontId="3" fillId="0" borderId="0" xfId="0" applyNumberFormat="1" applyFont="1" applyFill="1" applyBorder="1" applyAlignment="1">
      <alignment horizontal="left" vertical="top" wrapText="1" readingOrder="1"/>
    </xf>
    <xf numFmtId="9" fontId="3" fillId="0" borderId="0" xfId="0" applyNumberFormat="1" applyFont="1" applyFill="1" applyBorder="1" applyAlignment="1">
      <alignment horizontal="left" vertical="top" wrapText="1" readingOrder="1"/>
    </xf>
    <xf numFmtId="0" fontId="3" fillId="0" borderId="0" xfId="0" applyFont="1" applyFill="1" applyBorder="1" applyAlignment="1">
      <alignment horizontal="left" vertical="top" wrapText="1" readingOrder="1"/>
    </xf>
    <xf numFmtId="0" fontId="8" fillId="5" borderId="7" xfId="0" applyFont="1" applyFill="1" applyBorder="1" applyAlignment="1">
      <alignment wrapText="1"/>
    </xf>
    <xf numFmtId="0" fontId="10" fillId="0" borderId="0" xfId="0" applyFont="1"/>
    <xf numFmtId="0" fontId="10" fillId="0" borderId="1" xfId="0" applyFont="1" applyBorder="1"/>
    <xf numFmtId="0" fontId="11" fillId="3" borderId="1" xfId="0" applyFont="1" applyFill="1" applyBorder="1"/>
    <xf numFmtId="0" fontId="10" fillId="0" borderId="1" xfId="0" applyFont="1" applyFill="1" applyBorder="1"/>
    <xf numFmtId="0" fontId="9" fillId="0" borderId="0" xfId="0" applyFont="1" applyFill="1" applyBorder="1"/>
    <xf numFmtId="0" fontId="0" fillId="6" borderId="0" xfId="0" applyFill="1"/>
    <xf numFmtId="0" fontId="13" fillId="0" borderId="0" xfId="0" applyFont="1"/>
    <xf numFmtId="0" fontId="15" fillId="2" borderId="0" xfId="0" applyFont="1" applyFill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 wrapText="1"/>
    </xf>
    <xf numFmtId="9" fontId="8" fillId="0" borderId="0" xfId="0" applyNumberFormat="1" applyFont="1" applyFill="1" applyBorder="1" applyAlignment="1">
      <alignment horizontal="center" wrapText="1"/>
    </xf>
    <xf numFmtId="167" fontId="18" fillId="7" borderId="0" xfId="0" applyNumberFormat="1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14" fillId="7" borderId="0" xfId="0" applyFont="1" applyFill="1"/>
    <xf numFmtId="166" fontId="18" fillId="7" borderId="0" xfId="0" applyNumberFormat="1" applyFont="1" applyFill="1" applyAlignment="1">
      <alignment horizontal="center"/>
    </xf>
    <xf numFmtId="0" fontId="19" fillId="7" borderId="0" xfId="0" applyFont="1" applyFill="1" applyBorder="1" applyAlignment="1">
      <alignment horizontal="center" vertical="center"/>
    </xf>
    <xf numFmtId="49" fontId="20" fillId="7" borderId="0" xfId="0" applyNumberFormat="1" applyFont="1" applyFill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21" fillId="7" borderId="0" xfId="0" applyFont="1" applyFill="1"/>
    <xf numFmtId="0" fontId="0" fillId="7" borderId="20" xfId="0" applyFill="1" applyBorder="1" applyAlignment="1">
      <alignment horizontal="center"/>
    </xf>
    <xf numFmtId="0" fontId="0" fillId="7" borderId="21" xfId="0" applyFill="1" applyBorder="1"/>
    <xf numFmtId="0" fontId="0" fillId="7" borderId="21" xfId="0" applyFill="1" applyBorder="1" applyAlignment="1">
      <alignment horizontal="center"/>
    </xf>
    <xf numFmtId="0" fontId="14" fillId="7" borderId="21" xfId="0" applyFont="1" applyFill="1" applyBorder="1"/>
    <xf numFmtId="0" fontId="21" fillId="7" borderId="22" xfId="0" applyFont="1" applyFill="1" applyBorder="1"/>
    <xf numFmtId="0" fontId="19" fillId="7" borderId="23" xfId="0" applyFont="1" applyFill="1" applyBorder="1" applyAlignment="1">
      <alignment horizontal="center" vertical="center"/>
    </xf>
    <xf numFmtId="0" fontId="21" fillId="7" borderId="0" xfId="0" applyFont="1" applyFill="1" applyBorder="1"/>
    <xf numFmtId="0" fontId="21" fillId="7" borderId="24" xfId="0" applyFont="1" applyFill="1" applyBorder="1"/>
    <xf numFmtId="0" fontId="20" fillId="7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center"/>
    </xf>
    <xf numFmtId="0" fontId="20" fillId="7" borderId="0" xfId="0" applyFont="1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14" fillId="7" borderId="0" xfId="0" applyFont="1" applyFill="1" applyBorder="1"/>
    <xf numFmtId="49" fontId="20" fillId="7" borderId="0" xfId="0" applyNumberFormat="1" applyFont="1" applyFill="1" applyBorder="1" applyAlignment="1">
      <alignment vertical="center"/>
    </xf>
    <xf numFmtId="49" fontId="20" fillId="7" borderId="0" xfId="0" applyNumberFormat="1" applyFont="1" applyFill="1" applyBorder="1" applyAlignment="1"/>
    <xf numFmtId="0" fontId="0" fillId="7" borderId="23" xfId="0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0" fontId="19" fillId="7" borderId="0" xfId="0" applyFont="1" applyFill="1" applyBorder="1" applyAlignment="1">
      <alignment vertical="center"/>
    </xf>
    <xf numFmtId="49" fontId="22" fillId="7" borderId="26" xfId="0" applyNumberFormat="1" applyFont="1" applyFill="1" applyBorder="1" applyAlignment="1">
      <alignment vertical="center"/>
    </xf>
    <xf numFmtId="0" fontId="21" fillId="7" borderId="26" xfId="0" applyFont="1" applyFill="1" applyBorder="1"/>
    <xf numFmtId="0" fontId="19" fillId="7" borderId="26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horizontal="center"/>
    </xf>
    <xf numFmtId="9" fontId="14" fillId="7" borderId="26" xfId="0" applyNumberFormat="1" applyFont="1" applyFill="1" applyBorder="1" applyAlignment="1">
      <alignment horizontal="center"/>
    </xf>
    <xf numFmtId="0" fontId="21" fillId="7" borderId="27" xfId="0" applyFont="1" applyFill="1" applyBorder="1"/>
    <xf numFmtId="0" fontId="19" fillId="7" borderId="21" xfId="0" applyFont="1" applyFill="1" applyBorder="1" applyAlignment="1">
      <alignment vertical="center"/>
    </xf>
    <xf numFmtId="0" fontId="21" fillId="7" borderId="21" xfId="0" applyFont="1" applyFill="1" applyBorder="1"/>
    <xf numFmtId="0" fontId="20" fillId="7" borderId="0" xfId="0" applyFont="1" applyFill="1" applyBorder="1" applyAlignment="1">
      <alignment horizontal="center"/>
    </xf>
    <xf numFmtId="49" fontId="22" fillId="7" borderId="0" xfId="0" applyNumberFormat="1" applyFont="1" applyFill="1" applyBorder="1" applyAlignment="1">
      <alignment vertical="center"/>
    </xf>
    <xf numFmtId="10" fontId="20" fillId="7" borderId="0" xfId="2" applyNumberFormat="1" applyFont="1" applyFill="1" applyBorder="1" applyAlignment="1" applyProtection="1">
      <alignment horizontal="center" vertical="center"/>
    </xf>
    <xf numFmtId="0" fontId="20" fillId="7" borderId="26" xfId="0" applyFont="1" applyFill="1" applyBorder="1"/>
    <xf numFmtId="0" fontId="21" fillId="7" borderId="26" xfId="0" applyFont="1" applyFill="1" applyBorder="1" applyAlignment="1">
      <alignment horizontal="center"/>
    </xf>
    <xf numFmtId="0" fontId="20" fillId="7" borderId="21" xfId="0" applyFont="1" applyFill="1" applyBorder="1"/>
    <xf numFmtId="0" fontId="21" fillId="7" borderId="21" xfId="0" applyFont="1" applyFill="1" applyBorder="1" applyAlignment="1">
      <alignment horizontal="center"/>
    </xf>
    <xf numFmtId="0" fontId="0" fillId="7" borderId="24" xfId="0" applyFill="1" applyBorder="1"/>
    <xf numFmtId="0" fontId="0" fillId="7" borderId="25" xfId="0" applyFill="1" applyBorder="1" applyAlignment="1">
      <alignment horizontal="center"/>
    </xf>
    <xf numFmtId="0" fontId="0" fillId="7" borderId="26" xfId="0" applyFill="1" applyBorder="1"/>
    <xf numFmtId="0" fontId="0" fillId="7" borderId="26" xfId="0" applyFill="1" applyBorder="1" applyAlignment="1">
      <alignment horizontal="center"/>
    </xf>
    <xf numFmtId="0" fontId="14" fillId="7" borderId="26" xfId="0" applyFont="1" applyFill="1" applyBorder="1"/>
    <xf numFmtId="0" fontId="0" fillId="7" borderId="27" xfId="0" applyFill="1" applyBorder="1"/>
    <xf numFmtId="49" fontId="20" fillId="8" borderId="19" xfId="0" applyNumberFormat="1" applyFont="1" applyFill="1" applyBorder="1" applyAlignment="1">
      <alignment horizontal="center" vertical="center"/>
    </xf>
    <xf numFmtId="49" fontId="22" fillId="8" borderId="19" xfId="0" applyNumberFormat="1" applyFont="1" applyFill="1" applyBorder="1" applyAlignment="1">
      <alignment horizontal="center" vertical="center"/>
    </xf>
    <xf numFmtId="49" fontId="22" fillId="8" borderId="19" xfId="0" applyNumberFormat="1" applyFont="1" applyFill="1" applyBorder="1" applyAlignment="1">
      <alignment vertical="center"/>
    </xf>
    <xf numFmtId="0" fontId="20" fillId="8" borderId="19" xfId="0" applyFont="1" applyFill="1" applyBorder="1" applyAlignment="1">
      <alignment horizontal="center"/>
    </xf>
    <xf numFmtId="0" fontId="20" fillId="8" borderId="19" xfId="0" applyFont="1" applyFill="1" applyBorder="1"/>
    <xf numFmtId="9" fontId="14" fillId="8" borderId="19" xfId="0" applyNumberFormat="1" applyFont="1" applyFill="1" applyBorder="1" applyAlignment="1">
      <alignment horizontal="center"/>
    </xf>
    <xf numFmtId="49" fontId="20" fillId="8" borderId="19" xfId="0" applyNumberFormat="1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10" fontId="20" fillId="8" borderId="19" xfId="2" applyNumberFormat="1" applyFont="1" applyFill="1" applyBorder="1" applyAlignment="1" applyProtection="1">
      <alignment horizontal="center" vertical="center"/>
    </xf>
    <xf numFmtId="10" fontId="14" fillId="8" borderId="19" xfId="0" applyNumberFormat="1" applyFont="1" applyFill="1" applyBorder="1" applyAlignment="1">
      <alignment horizontal="center"/>
    </xf>
    <xf numFmtId="10" fontId="20" fillId="8" borderId="19" xfId="0" applyNumberFormat="1" applyFont="1" applyFill="1" applyBorder="1" applyAlignment="1">
      <alignment horizontal="center"/>
    </xf>
    <xf numFmtId="49" fontId="20" fillId="8" borderId="19" xfId="0" applyNumberFormat="1" applyFont="1" applyFill="1" applyBorder="1"/>
    <xf numFmtId="0" fontId="20" fillId="8" borderId="28" xfId="0" applyFont="1" applyFill="1" applyBorder="1"/>
    <xf numFmtId="0" fontId="21" fillId="8" borderId="29" xfId="0" applyFont="1" applyFill="1" applyBorder="1" applyAlignment="1">
      <alignment horizontal="center"/>
    </xf>
    <xf numFmtId="0" fontId="20" fillId="8" borderId="30" xfId="0" applyFont="1" applyFill="1" applyBorder="1"/>
    <xf numFmtId="0" fontId="23" fillId="7" borderId="23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24" fillId="7" borderId="20" xfId="0" applyFont="1" applyFill="1" applyBorder="1" applyAlignment="1">
      <alignment horizontal="center"/>
    </xf>
    <xf numFmtId="0" fontId="24" fillId="7" borderId="23" xfId="0" applyFont="1" applyFill="1" applyBorder="1" applyAlignment="1">
      <alignment horizontal="center"/>
    </xf>
    <xf numFmtId="0" fontId="23" fillId="7" borderId="25" xfId="0" applyFont="1" applyFill="1" applyBorder="1" applyAlignment="1">
      <alignment horizontal="center" vertical="center"/>
    </xf>
    <xf numFmtId="0" fontId="23" fillId="7" borderId="2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/>
    </xf>
    <xf numFmtId="17" fontId="0" fillId="7" borderId="0" xfId="0" applyNumberFormat="1" applyFont="1" applyFill="1" applyAlignment="1">
      <alignment horizontal="center"/>
    </xf>
    <xf numFmtId="0" fontId="0" fillId="7" borderId="21" xfId="0" applyFont="1" applyFill="1" applyBorder="1" applyAlignment="1">
      <alignment horizontal="center"/>
    </xf>
    <xf numFmtId="0" fontId="23" fillId="7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23" fillId="7" borderId="26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/>
    </xf>
    <xf numFmtId="0" fontId="24" fillId="7" borderId="26" xfId="0" applyFont="1" applyFill="1" applyBorder="1" applyAlignment="1">
      <alignment horizontal="center"/>
    </xf>
    <xf numFmtId="0" fontId="24" fillId="7" borderId="21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169" fontId="14" fillId="7" borderId="3" xfId="0" applyNumberFormat="1" applyFont="1" applyFill="1" applyBorder="1" applyAlignment="1">
      <alignment horizontal="center"/>
    </xf>
    <xf numFmtId="0" fontId="14" fillId="7" borderId="3" xfId="0" applyFont="1" applyFill="1" applyBorder="1"/>
    <xf numFmtId="0" fontId="14" fillId="7" borderId="3" xfId="0" applyNumberFormat="1" applyFont="1" applyFill="1" applyBorder="1" applyAlignment="1">
      <alignment horizontal="center"/>
    </xf>
    <xf numFmtId="165" fontId="14" fillId="7" borderId="3" xfId="1" applyNumberFormat="1" applyFont="1" applyFill="1" applyBorder="1"/>
    <xf numFmtId="169" fontId="14" fillId="7" borderId="32" xfId="0" applyNumberFormat="1" applyFont="1" applyFill="1" applyBorder="1" applyAlignment="1">
      <alignment horizontal="center"/>
    </xf>
    <xf numFmtId="0" fontId="14" fillId="7" borderId="32" xfId="0" applyNumberFormat="1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 vertical="center" wrapText="1"/>
    </xf>
    <xf numFmtId="9" fontId="13" fillId="9" borderId="31" xfId="0" applyNumberFormat="1" applyFont="1" applyFill="1" applyBorder="1" applyAlignment="1">
      <alignment horizontal="center"/>
    </xf>
    <xf numFmtId="0" fontId="16" fillId="10" borderId="0" xfId="0" applyFont="1" applyFill="1"/>
    <xf numFmtId="0" fontId="0" fillId="10" borderId="0" xfId="0" applyFill="1"/>
    <xf numFmtId="49" fontId="26" fillId="7" borderId="0" xfId="0" applyNumberFormat="1" applyFont="1" applyFill="1" applyBorder="1" applyAlignment="1">
      <alignment vertical="center"/>
    </xf>
    <xf numFmtId="0" fontId="27" fillId="7" borderId="0" xfId="0" applyFont="1" applyFill="1" applyAlignment="1">
      <alignment horizontal="center"/>
    </xf>
    <xf numFmtId="0" fontId="28" fillId="7" borderId="0" xfId="0" applyFont="1" applyFill="1" applyAlignment="1">
      <alignment horizontal="right" vertical="center"/>
    </xf>
    <xf numFmtId="49" fontId="26" fillId="7" borderId="36" xfId="0" applyNumberFormat="1" applyFont="1" applyFill="1" applyBorder="1" applyAlignment="1">
      <alignment vertical="center"/>
    </xf>
    <xf numFmtId="0" fontId="27" fillId="7" borderId="36" xfId="0" applyFont="1" applyFill="1" applyBorder="1" applyAlignment="1">
      <alignment horizontal="center"/>
    </xf>
    <xf numFmtId="0" fontId="0" fillId="7" borderId="36" xfId="0" applyFill="1" applyBorder="1"/>
    <xf numFmtId="3" fontId="29" fillId="7" borderId="0" xfId="0" applyNumberFormat="1" applyFont="1" applyFill="1" applyAlignment="1">
      <alignment horizontal="center"/>
    </xf>
    <xf numFmtId="0" fontId="29" fillId="7" borderId="0" xfId="0" applyFont="1" applyFill="1" applyAlignment="1">
      <alignment horizontal="center"/>
    </xf>
    <xf numFmtId="0" fontId="30" fillId="7" borderId="0" xfId="0" applyFont="1" applyFill="1" applyAlignment="1">
      <alignment horizontal="right" vertical="top"/>
    </xf>
    <xf numFmtId="0" fontId="30" fillId="11" borderId="37" xfId="0" applyFont="1" applyFill="1" applyBorder="1" applyAlignment="1">
      <alignment horizontal="center" vertical="center" wrapText="1"/>
    </xf>
    <xf numFmtId="0" fontId="31" fillId="7" borderId="37" xfId="0" applyFont="1" applyFill="1" applyBorder="1" applyAlignment="1">
      <alignment vertical="center"/>
    </xf>
    <xf numFmtId="3" fontId="31" fillId="7" borderId="37" xfId="0" applyNumberFormat="1" applyFont="1" applyFill="1" applyBorder="1" applyAlignment="1">
      <alignment horizontal="center" vertical="center"/>
    </xf>
    <xf numFmtId="14" fontId="31" fillId="7" borderId="37" xfId="0" applyNumberFormat="1" applyFont="1" applyFill="1" applyBorder="1" applyAlignment="1">
      <alignment horizontal="center" vertical="center"/>
    </xf>
    <xf numFmtId="0" fontId="31" fillId="7" borderId="37" xfId="0" applyFont="1" applyFill="1" applyBorder="1" applyAlignment="1">
      <alignment horizontal="center"/>
    </xf>
    <xf numFmtId="4" fontId="31" fillId="7" borderId="37" xfId="0" applyNumberFormat="1" applyFont="1" applyFill="1" applyBorder="1" applyAlignment="1">
      <alignment vertical="center"/>
    </xf>
    <xf numFmtId="4" fontId="31" fillId="7" borderId="37" xfId="0" applyNumberFormat="1" applyFont="1" applyFill="1" applyBorder="1" applyAlignment="1">
      <alignment horizontal="right" vertical="center"/>
    </xf>
    <xf numFmtId="167" fontId="31" fillId="7" borderId="38" xfId="0" applyNumberFormat="1" applyFont="1" applyFill="1" applyBorder="1" applyAlignment="1">
      <alignment horizontal="center" vertical="center"/>
    </xf>
    <xf numFmtId="3" fontId="31" fillId="7" borderId="37" xfId="0" applyNumberFormat="1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3" fontId="31" fillId="7" borderId="0" xfId="0" applyNumberFormat="1" applyFont="1" applyFill="1" applyAlignment="1">
      <alignment horizontal="center" vertical="center"/>
    </xf>
    <xf numFmtId="0" fontId="31" fillId="7" borderId="0" xfId="0" applyFont="1" applyFill="1" applyAlignment="1">
      <alignment horizontal="center" vertical="center"/>
    </xf>
    <xf numFmtId="4" fontId="31" fillId="7" borderId="0" xfId="0" applyNumberFormat="1" applyFont="1" applyFill="1" applyAlignment="1">
      <alignment horizontal="center" vertical="center"/>
    </xf>
    <xf numFmtId="4" fontId="31" fillId="7" borderId="37" xfId="0" applyNumberFormat="1" applyFont="1" applyFill="1" applyBorder="1" applyAlignment="1">
      <alignment horizontal="center" vertical="center"/>
    </xf>
    <xf numFmtId="10" fontId="31" fillId="7" borderId="37" xfId="2" applyNumberFormat="1" applyFont="1" applyFill="1" applyBorder="1" applyAlignment="1" applyProtection="1">
      <alignment horizontal="center" vertical="center"/>
    </xf>
    <xf numFmtId="0" fontId="31" fillId="7" borderId="0" xfId="0" applyFont="1" applyFill="1" applyBorder="1" applyAlignment="1">
      <alignment vertical="center"/>
    </xf>
    <xf numFmtId="4" fontId="31" fillId="7" borderId="0" xfId="0" applyNumberFormat="1" applyFont="1" applyFill="1" applyBorder="1" applyAlignment="1">
      <alignment horizontal="center" vertical="center"/>
    </xf>
    <xf numFmtId="3" fontId="31" fillId="7" borderId="0" xfId="0" applyNumberFormat="1" applyFont="1" applyFill="1" applyBorder="1" applyAlignment="1">
      <alignment horizontal="center" vertical="center"/>
    </xf>
    <xf numFmtId="10" fontId="31" fillId="7" borderId="0" xfId="2" applyNumberFormat="1" applyFont="1" applyFill="1" applyBorder="1" applyAlignment="1" applyProtection="1">
      <alignment horizontal="center" vertical="center"/>
    </xf>
    <xf numFmtId="4" fontId="31" fillId="7" borderId="0" xfId="0" applyNumberFormat="1" applyFont="1" applyFill="1" applyBorder="1" applyAlignment="1">
      <alignment horizontal="right" vertical="center"/>
    </xf>
    <xf numFmtId="0" fontId="31" fillId="7" borderId="0" xfId="0" applyFont="1" applyFill="1" applyBorder="1" applyAlignment="1">
      <alignment horizontal="center" vertical="center"/>
    </xf>
    <xf numFmtId="0" fontId="31" fillId="11" borderId="37" xfId="0" applyFont="1" applyFill="1" applyBorder="1" applyAlignment="1">
      <alignment horizontal="center" vertical="center"/>
    </xf>
    <xf numFmtId="3" fontId="31" fillId="11" borderId="37" xfId="0" applyNumberFormat="1" applyFont="1" applyFill="1" applyBorder="1" applyAlignment="1">
      <alignment horizontal="center" vertical="center" wrapText="1"/>
    </xf>
    <xf numFmtId="0" fontId="32" fillId="12" borderId="0" xfId="0" applyFont="1" applyFill="1"/>
    <xf numFmtId="4" fontId="32" fillId="12" borderId="0" xfId="0" applyNumberFormat="1" applyFont="1" applyFill="1"/>
    <xf numFmtId="0" fontId="34" fillId="12" borderId="0" xfId="0" applyFont="1" applyFill="1"/>
    <xf numFmtId="14" fontId="34" fillId="12" borderId="0" xfId="0" applyNumberFormat="1" applyFont="1" applyFill="1"/>
    <xf numFmtId="165" fontId="32" fillId="12" borderId="0" xfId="1" applyNumberFormat="1" applyFont="1" applyFill="1"/>
    <xf numFmtId="165" fontId="34" fillId="13" borderId="42" xfId="1" applyNumberFormat="1" applyFont="1" applyFill="1" applyBorder="1" applyAlignment="1">
      <alignment horizontal="center" vertical="center"/>
    </xf>
    <xf numFmtId="165" fontId="36" fillId="0" borderId="47" xfId="1" applyNumberFormat="1" applyFont="1" applyBorder="1" applyAlignment="1">
      <alignment horizontal="center" vertical="center"/>
    </xf>
    <xf numFmtId="0" fontId="34" fillId="13" borderId="48" xfId="0" applyFont="1" applyFill="1" applyBorder="1" applyAlignment="1">
      <alignment horizontal="center" vertical="center"/>
    </xf>
    <xf numFmtId="0" fontId="34" fillId="13" borderId="49" xfId="0" applyFont="1" applyFill="1" applyBorder="1" applyAlignment="1">
      <alignment horizontal="center" vertical="center"/>
    </xf>
    <xf numFmtId="165" fontId="34" fillId="13" borderId="50" xfId="1" applyNumberFormat="1" applyFont="1" applyFill="1" applyBorder="1" applyAlignment="1">
      <alignment horizontal="center" vertical="center"/>
    </xf>
    <xf numFmtId="14" fontId="35" fillId="0" borderId="51" xfId="0" applyNumberFormat="1" applyFont="1" applyBorder="1" applyAlignment="1">
      <alignment horizontal="center" vertical="center"/>
    </xf>
    <xf numFmtId="0" fontId="35" fillId="0" borderId="52" xfId="0" applyFont="1" applyBorder="1" applyAlignment="1">
      <alignment horizontal="center" vertical="center"/>
    </xf>
    <xf numFmtId="0" fontId="35" fillId="0" borderId="52" xfId="0" applyNumberFormat="1" applyFont="1" applyBorder="1" applyAlignment="1">
      <alignment horizontal="center" vertical="center"/>
    </xf>
    <xf numFmtId="14" fontId="35" fillId="0" borderId="52" xfId="0" applyNumberFormat="1" applyFont="1" applyBorder="1" applyAlignment="1">
      <alignment horizontal="center" vertical="center"/>
    </xf>
    <xf numFmtId="170" fontId="35" fillId="0" borderId="53" xfId="0" applyNumberFormat="1" applyFont="1" applyBorder="1" applyAlignment="1">
      <alignment horizontal="center" vertical="center"/>
    </xf>
    <xf numFmtId="0" fontId="34" fillId="13" borderId="56" xfId="0" applyFont="1" applyFill="1" applyBorder="1" applyAlignment="1">
      <alignment horizontal="center" vertical="center"/>
    </xf>
    <xf numFmtId="0" fontId="34" fillId="13" borderId="55" xfId="0" applyFont="1" applyFill="1" applyBorder="1" applyAlignment="1">
      <alignment horizontal="center"/>
    </xf>
    <xf numFmtId="165" fontId="34" fillId="13" borderId="58" xfId="1" applyNumberFormat="1" applyFont="1" applyFill="1" applyBorder="1" applyAlignment="1">
      <alignment horizontal="center"/>
    </xf>
    <xf numFmtId="4" fontId="35" fillId="0" borderId="60" xfId="1" applyNumberFormat="1" applyFont="1" applyBorder="1"/>
    <xf numFmtId="165" fontId="35" fillId="0" borderId="62" xfId="1" applyNumberFormat="1" applyFont="1" applyBorder="1"/>
    <xf numFmtId="165" fontId="35" fillId="0" borderId="47" xfId="1" applyNumberFormat="1" applyFont="1" applyBorder="1"/>
    <xf numFmtId="10" fontId="35" fillId="0" borderId="63" xfId="1" applyNumberFormat="1" applyFont="1" applyBorder="1" applyAlignment="1">
      <alignment horizontal="right"/>
    </xf>
    <xf numFmtId="4" fontId="35" fillId="0" borderId="47" xfId="1" applyNumberFormat="1" applyFont="1" applyBorder="1"/>
    <xf numFmtId="4" fontId="35" fillId="0" borderId="47" xfId="1" applyNumberFormat="1" applyFont="1" applyBorder="1" applyAlignment="1"/>
    <xf numFmtId="165" fontId="35" fillId="0" borderId="63" xfId="1" applyNumberFormat="1" applyFont="1" applyBorder="1" applyAlignment="1">
      <alignment horizontal="center"/>
    </xf>
    <xf numFmtId="165" fontId="35" fillId="0" borderId="45" xfId="1" applyNumberFormat="1" applyFont="1" applyBorder="1" applyAlignment="1">
      <alignment horizontal="center"/>
    </xf>
    <xf numFmtId="165" fontId="35" fillId="0" borderId="44" xfId="1" applyNumberFormat="1" applyFont="1" applyBorder="1" applyAlignment="1">
      <alignment horizontal="center"/>
    </xf>
    <xf numFmtId="165" fontId="35" fillId="0" borderId="53" xfId="1" applyNumberFormat="1" applyFont="1" applyBorder="1"/>
    <xf numFmtId="0" fontId="37" fillId="13" borderId="65" xfId="0" applyFont="1" applyFill="1" applyBorder="1" applyAlignment="1">
      <alignment horizontal="center" vertical="center" wrapText="1"/>
    </xf>
    <xf numFmtId="0" fontId="37" fillId="13" borderId="66" xfId="0" applyFont="1" applyFill="1" applyBorder="1" applyAlignment="1">
      <alignment horizontal="center" vertical="center" wrapText="1"/>
    </xf>
    <xf numFmtId="165" fontId="37" fillId="13" borderId="67" xfId="1" applyNumberFormat="1" applyFont="1" applyFill="1" applyBorder="1" applyAlignment="1">
      <alignment horizontal="center" vertical="center"/>
    </xf>
    <xf numFmtId="4" fontId="35" fillId="0" borderId="68" xfId="0" applyNumberFormat="1" applyFont="1" applyBorder="1" applyAlignment="1">
      <alignment horizontal="right" vertical="center"/>
    </xf>
    <xf numFmtId="4" fontId="35" fillId="0" borderId="69" xfId="0" applyNumberFormat="1" applyFont="1" applyBorder="1" applyAlignment="1">
      <alignment horizontal="right" vertical="center"/>
    </xf>
    <xf numFmtId="4" fontId="35" fillId="0" borderId="70" xfId="1" applyNumberFormat="1" applyFont="1" applyBorder="1" applyAlignment="1">
      <alignment horizontal="right" vertical="center"/>
    </xf>
    <xf numFmtId="165" fontId="38" fillId="13" borderId="74" xfId="1" applyNumberFormat="1" applyFont="1" applyFill="1" applyBorder="1" applyAlignment="1">
      <alignment horizontal="center"/>
    </xf>
    <xf numFmtId="4" fontId="35" fillId="12" borderId="74" xfId="1" applyNumberFormat="1" applyFont="1" applyFill="1" applyBorder="1" applyAlignment="1">
      <alignment horizontal="right"/>
    </xf>
    <xf numFmtId="0" fontId="36" fillId="12" borderId="0" xfId="0" applyFont="1" applyFill="1" applyAlignment="1"/>
    <xf numFmtId="49" fontId="0" fillId="7" borderId="0" xfId="0" applyNumberFormat="1" applyFill="1"/>
    <xf numFmtId="0" fontId="34" fillId="13" borderId="40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4" fillId="13" borderId="54" xfId="0" applyFont="1" applyFill="1" applyBorder="1" applyAlignment="1">
      <alignment horizontal="center"/>
    </xf>
    <xf numFmtId="49" fontId="32" fillId="12" borderId="0" xfId="0" applyNumberFormat="1" applyFont="1" applyFill="1"/>
    <xf numFmtId="9" fontId="35" fillId="0" borderId="46" xfId="2" applyFont="1" applyBorder="1" applyAlignment="1">
      <alignment horizontal="right"/>
    </xf>
    <xf numFmtId="9" fontId="35" fillId="0" borderId="63" xfId="2" applyFont="1" applyBorder="1" applyAlignment="1">
      <alignment horizontal="right"/>
    </xf>
    <xf numFmtId="0" fontId="35" fillId="0" borderId="60" xfId="1" applyNumberFormat="1" applyFont="1" applyBorder="1" applyAlignment="1">
      <alignment horizontal="center"/>
    </xf>
    <xf numFmtId="0" fontId="35" fillId="0" borderId="46" xfId="1" applyNumberFormat="1" applyFont="1" applyBorder="1" applyAlignment="1">
      <alignment horizontal="center" vertical="center"/>
    </xf>
    <xf numFmtId="0" fontId="35" fillId="0" borderId="45" xfId="1" applyNumberFormat="1" applyFont="1" applyBorder="1" applyAlignment="1">
      <alignment horizontal="center"/>
    </xf>
    <xf numFmtId="0" fontId="35" fillId="0" borderId="46" xfId="1" applyNumberFormat="1" applyFont="1" applyBorder="1" applyAlignment="1">
      <alignment horizontal="center"/>
    </xf>
    <xf numFmtId="4" fontId="35" fillId="0" borderId="46" xfId="1" applyNumberFormat="1" applyFont="1" applyBorder="1" applyAlignment="1">
      <alignment horizontal="center"/>
    </xf>
    <xf numFmtId="172" fontId="35" fillId="0" borderId="53" xfId="1" applyNumberFormat="1" applyFont="1" applyBorder="1" applyAlignment="1">
      <alignment horizontal="right"/>
    </xf>
    <xf numFmtId="169" fontId="41" fillId="7" borderId="32" xfId="0" applyNumberFormat="1" applyFont="1" applyFill="1" applyBorder="1" applyAlignment="1">
      <alignment horizontal="center"/>
    </xf>
    <xf numFmtId="169" fontId="41" fillId="7" borderId="3" xfId="0" applyNumberFormat="1" applyFont="1" applyFill="1" applyBorder="1" applyAlignment="1">
      <alignment horizontal="center"/>
    </xf>
    <xf numFmtId="0" fontId="41" fillId="7" borderId="3" xfId="0" applyFont="1" applyFill="1" applyBorder="1" applyAlignment="1">
      <alignment horizontal="center"/>
    </xf>
    <xf numFmtId="0" fontId="42" fillId="7" borderId="3" xfId="0" applyFont="1" applyFill="1" applyBorder="1" applyAlignment="1">
      <alignment horizontal="center"/>
    </xf>
    <xf numFmtId="0" fontId="42" fillId="7" borderId="4" xfId="0" applyFont="1" applyFill="1" applyBorder="1" applyAlignment="1">
      <alignment horizontal="center"/>
    </xf>
    <xf numFmtId="0" fontId="14" fillId="7" borderId="2" xfId="0" applyFont="1" applyFill="1" applyBorder="1"/>
    <xf numFmtId="169" fontId="14" fillId="7" borderId="4" xfId="0" applyNumberFormat="1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4" fillId="7" borderId="4" xfId="0" applyNumberFormat="1" applyFont="1" applyFill="1" applyBorder="1" applyAlignment="1">
      <alignment horizontal="center"/>
    </xf>
    <xf numFmtId="4" fontId="35" fillId="0" borderId="60" xfId="1" applyNumberFormat="1" applyFont="1" applyBorder="1" applyAlignment="1">
      <alignment horizontal="right"/>
    </xf>
    <xf numFmtId="0" fontId="16" fillId="0" borderId="0" xfId="0" applyFont="1" applyFill="1"/>
    <xf numFmtId="0" fontId="16" fillId="0" borderId="0" xfId="0" applyFont="1" applyFill="1" applyAlignment="1">
      <alignment horizontal="center"/>
    </xf>
    <xf numFmtId="2" fontId="14" fillId="7" borderId="3" xfId="0" applyNumberFormat="1" applyFont="1" applyFill="1" applyBorder="1" applyAlignment="1">
      <alignment horizontal="center"/>
    </xf>
    <xf numFmtId="2" fontId="14" fillId="7" borderId="4" xfId="0" applyNumberFormat="1" applyFont="1" applyFill="1" applyBorder="1" applyAlignment="1">
      <alignment horizontal="center"/>
    </xf>
    <xf numFmtId="172" fontId="14" fillId="7" borderId="3" xfId="1" applyNumberFormat="1" applyFont="1" applyFill="1" applyBorder="1" applyAlignment="1">
      <alignment horizontal="center"/>
    </xf>
    <xf numFmtId="172" fontId="14" fillId="7" borderId="4" xfId="1" applyNumberFormat="1" applyFont="1" applyFill="1" applyBorder="1" applyAlignment="1">
      <alignment horizontal="center"/>
    </xf>
    <xf numFmtId="4" fontId="14" fillId="7" borderId="3" xfId="1" applyNumberFormat="1" applyFont="1" applyFill="1" applyBorder="1" applyAlignment="1">
      <alignment horizontal="center"/>
    </xf>
    <xf numFmtId="4" fontId="14" fillId="7" borderId="4" xfId="1" applyNumberFormat="1" applyFont="1" applyFill="1" applyBorder="1" applyAlignment="1">
      <alignment horizontal="center"/>
    </xf>
    <xf numFmtId="4" fontId="14" fillId="7" borderId="2" xfId="1" applyNumberFormat="1" applyFont="1" applyFill="1" applyBorder="1" applyAlignment="1">
      <alignment horizontal="center"/>
    </xf>
    <xf numFmtId="2" fontId="14" fillId="7" borderId="3" xfId="1" applyNumberFormat="1" applyFont="1" applyFill="1" applyBorder="1" applyAlignment="1">
      <alignment horizontal="center"/>
    </xf>
    <xf numFmtId="2" fontId="14" fillId="7" borderId="4" xfId="1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36" fillId="0" borderId="40" xfId="0" applyFont="1" applyBorder="1" applyAlignment="1"/>
    <xf numFmtId="0" fontId="36" fillId="0" borderId="43" xfId="0" applyFont="1" applyBorder="1" applyAlignment="1"/>
    <xf numFmtId="0" fontId="36" fillId="0" borderId="43" xfId="0" applyFont="1" applyBorder="1" applyAlignment="1">
      <alignment horizontal="left"/>
    </xf>
    <xf numFmtId="0" fontId="36" fillId="0" borderId="64" xfId="0" applyFont="1" applyBorder="1" applyAlignment="1">
      <alignment horizontal="left"/>
    </xf>
    <xf numFmtId="0" fontId="36" fillId="0" borderId="51" xfId="0" applyFont="1" applyBorder="1" applyAlignment="1">
      <alignment horizontal="left"/>
    </xf>
    <xf numFmtId="172" fontId="35" fillId="0" borderId="47" xfId="1" applyNumberFormat="1" applyFont="1" applyBorder="1"/>
    <xf numFmtId="165" fontId="35" fillId="0" borderId="78" xfId="1" applyNumberFormat="1" applyFont="1" applyBorder="1"/>
    <xf numFmtId="10" fontId="35" fillId="0" borderId="79" xfId="1" applyNumberFormat="1" applyFont="1" applyBorder="1" applyAlignment="1">
      <alignment horizontal="right"/>
    </xf>
    <xf numFmtId="2" fontId="13" fillId="0" borderId="32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9" fontId="35" fillId="0" borderId="60" xfId="2" applyFont="1" applyBorder="1" applyAlignment="1">
      <alignment horizontal="right"/>
    </xf>
    <xf numFmtId="0" fontId="45" fillId="7" borderId="0" xfId="0" applyFont="1" applyFill="1"/>
    <xf numFmtId="9" fontId="13" fillId="0" borderId="3" xfId="2" applyFont="1" applyBorder="1" applyAlignment="1">
      <alignment horizontal="center"/>
    </xf>
    <xf numFmtId="9" fontId="13" fillId="0" borderId="2" xfId="2" applyFont="1" applyBorder="1" applyAlignment="1">
      <alignment horizontal="center"/>
    </xf>
    <xf numFmtId="9" fontId="13" fillId="0" borderId="4" xfId="2" applyFont="1" applyBorder="1" applyAlignment="1">
      <alignment horizontal="center"/>
    </xf>
    <xf numFmtId="0" fontId="14" fillId="9" borderId="1" xfId="0" applyFont="1" applyFill="1" applyBorder="1" applyAlignment="1">
      <alignment horizontal="center" vertical="center" wrapText="1"/>
    </xf>
    <xf numFmtId="0" fontId="36" fillId="0" borderId="80" xfId="0" applyFont="1" applyBorder="1" applyAlignment="1">
      <alignment horizontal="left"/>
    </xf>
    <xf numFmtId="9" fontId="35" fillId="0" borderId="44" xfId="2" applyFont="1" applyBorder="1" applyAlignment="1">
      <alignment horizontal="right"/>
    </xf>
    <xf numFmtId="171" fontId="35" fillId="0" borderId="53" xfId="1" applyNumberFormat="1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" fontId="13" fillId="0" borderId="3" xfId="0" applyNumberFormat="1" applyFont="1" applyBorder="1" applyAlignment="1">
      <alignment horizontal="center"/>
    </xf>
    <xf numFmtId="1" fontId="13" fillId="0" borderId="4" xfId="0" applyNumberFormat="1" applyFont="1" applyBorder="1" applyAlignment="1">
      <alignment horizontal="center"/>
    </xf>
    <xf numFmtId="49" fontId="46" fillId="7" borderId="0" xfId="0" applyNumberFormat="1" applyFont="1" applyFill="1" applyBorder="1" applyAlignment="1">
      <alignment horizontal="center" vertical="center" wrapText="1"/>
    </xf>
    <xf numFmtId="0" fontId="0" fillId="15" borderId="10" xfId="0" applyFill="1" applyBorder="1"/>
    <xf numFmtId="0" fontId="15" fillId="15" borderId="9" xfId="0" applyFont="1" applyFill="1" applyBorder="1"/>
    <xf numFmtId="0" fontId="16" fillId="15" borderId="9" xfId="0" applyFont="1" applyFill="1" applyBorder="1"/>
    <xf numFmtId="0" fontId="16" fillId="15" borderId="9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 vertical="top" wrapText="1"/>
    </xf>
    <xf numFmtId="0" fontId="13" fillId="7" borderId="4" xfId="0" applyFont="1" applyFill="1" applyBorder="1" applyAlignment="1">
      <alignment horizontal="center" vertical="top"/>
    </xf>
    <xf numFmtId="14" fontId="13" fillId="7" borderId="4" xfId="0" applyNumberFormat="1" applyFont="1" applyFill="1" applyBorder="1" applyAlignment="1">
      <alignment horizontal="center" vertical="top"/>
    </xf>
    <xf numFmtId="4" fontId="13" fillId="7" borderId="4" xfId="0" applyNumberFormat="1" applyFont="1" applyFill="1" applyBorder="1" applyAlignment="1">
      <alignment horizontal="center" vertical="top"/>
    </xf>
    <xf numFmtId="2" fontId="13" fillId="7" borderId="4" xfId="0" applyNumberFormat="1" applyFont="1" applyFill="1" applyBorder="1" applyAlignment="1">
      <alignment horizontal="center" vertical="top"/>
    </xf>
    <xf numFmtId="1" fontId="13" fillId="7" borderId="4" xfId="0" applyNumberFormat="1" applyFont="1" applyFill="1" applyBorder="1" applyAlignment="1">
      <alignment horizontal="center" vertical="top"/>
    </xf>
    <xf numFmtId="2" fontId="13" fillId="7" borderId="4" xfId="0" applyNumberFormat="1" applyFont="1" applyFill="1" applyBorder="1" applyAlignment="1">
      <alignment horizontal="center" vertical="top" wrapText="1"/>
    </xf>
    <xf numFmtId="0" fontId="0" fillId="7" borderId="13" xfId="0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7" borderId="14" xfId="0" applyFill="1" applyBorder="1"/>
    <xf numFmtId="0" fontId="13" fillId="7" borderId="1" xfId="0" applyFont="1" applyFill="1" applyBorder="1"/>
    <xf numFmtId="0" fontId="15" fillId="15" borderId="8" xfId="0" applyFont="1" applyFill="1" applyBorder="1"/>
    <xf numFmtId="0" fontId="16" fillId="15" borderId="10" xfId="0" applyFont="1" applyFill="1" applyBorder="1" applyAlignment="1">
      <alignment horizontal="center"/>
    </xf>
    <xf numFmtId="0" fontId="32" fillId="12" borderId="39" xfId="0" applyFont="1" applyFill="1" applyBorder="1" applyAlignment="1">
      <alignment horizontal="left"/>
    </xf>
    <xf numFmtId="0" fontId="34" fillId="13" borderId="41" xfId="0" applyFont="1" applyFill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top" wrapText="1"/>
    </xf>
    <xf numFmtId="0" fontId="13" fillId="7" borderId="4" xfId="0" applyFont="1" applyFill="1" applyBorder="1" applyAlignment="1">
      <alignment horizontal="center" vertical="top"/>
    </xf>
    <xf numFmtId="0" fontId="13" fillId="7" borderId="4" xfId="0" applyFont="1" applyFill="1" applyBorder="1" applyAlignment="1">
      <alignment horizontal="center" vertical="top" wrapText="1"/>
    </xf>
    <xf numFmtId="0" fontId="0" fillId="15" borderId="0" xfId="0" applyFill="1"/>
    <xf numFmtId="0" fontId="9" fillId="15" borderId="0" xfId="0" applyFont="1" applyFill="1"/>
    <xf numFmtId="0" fontId="0" fillId="7" borderId="4" xfId="0" applyFill="1" applyBorder="1"/>
    <xf numFmtId="169" fontId="14" fillId="7" borderId="0" xfId="0" applyNumberFormat="1" applyFont="1" applyFill="1" applyBorder="1" applyAlignment="1">
      <alignment horizontal="center"/>
    </xf>
    <xf numFmtId="0" fontId="0" fillId="7" borderId="3" xfId="0" applyFill="1" applyBorder="1"/>
    <xf numFmtId="49" fontId="13" fillId="7" borderId="4" xfId="0" applyNumberFormat="1" applyFont="1" applyFill="1" applyBorder="1" applyAlignment="1">
      <alignment horizontal="center" vertical="top"/>
    </xf>
    <xf numFmtId="14" fontId="31" fillId="7" borderId="38" xfId="0" applyNumberFormat="1" applyFont="1" applyFill="1" applyBorder="1" applyAlignment="1">
      <alignment horizontal="center" vertical="center"/>
    </xf>
    <xf numFmtId="0" fontId="31" fillId="7" borderId="37" xfId="0" applyFont="1" applyFill="1" applyBorder="1" applyAlignment="1">
      <alignment horizontal="left" vertical="center"/>
    </xf>
    <xf numFmtId="0" fontId="15" fillId="16" borderId="0" xfId="0" applyFont="1" applyFill="1"/>
    <xf numFmtId="0" fontId="0" fillId="16" borderId="0" xfId="0" applyFill="1"/>
    <xf numFmtId="167" fontId="47" fillId="14" borderId="0" xfId="0" applyNumberFormat="1" applyFont="1" applyFill="1" applyAlignment="1">
      <alignment horizontal="center" vertical="top"/>
    </xf>
    <xf numFmtId="167" fontId="15" fillId="16" borderId="0" xfId="0" applyNumberFormat="1" applyFont="1" applyFill="1"/>
    <xf numFmtId="174" fontId="28" fillId="14" borderId="0" xfId="0" applyNumberFormat="1" applyFont="1" applyFill="1" applyAlignment="1">
      <alignment horizontal="left" vertical="center"/>
    </xf>
    <xf numFmtId="0" fontId="15" fillId="3" borderId="9" xfId="0" applyFont="1" applyFill="1" applyBorder="1"/>
    <xf numFmtId="0" fontId="0" fillId="3" borderId="10" xfId="0" applyFill="1" applyBorder="1"/>
    <xf numFmtId="10" fontId="35" fillId="0" borderId="46" xfId="2" applyNumberFormat="1" applyFont="1" applyBorder="1" applyAlignment="1">
      <alignment horizontal="right"/>
    </xf>
    <xf numFmtId="174" fontId="19" fillId="14" borderId="0" xfId="0" applyNumberFormat="1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/>
    </xf>
    <xf numFmtId="0" fontId="0" fillId="18" borderId="0" xfId="0" applyFill="1"/>
    <xf numFmtId="0" fontId="0" fillId="18" borderId="0" xfId="0" applyFont="1" applyFill="1"/>
    <xf numFmtId="0" fontId="48" fillId="18" borderId="88" xfId="0" applyFont="1" applyFill="1" applyBorder="1" applyAlignment="1">
      <alignment horizontal="left" vertical="top" wrapText="1" readingOrder="1"/>
    </xf>
    <xf numFmtId="0" fontId="2" fillId="19" borderId="11" xfId="0" applyFont="1" applyFill="1" applyBorder="1" applyAlignment="1">
      <alignment horizontal="left" vertical="top" wrapText="1" readingOrder="1"/>
    </xf>
    <xf numFmtId="10" fontId="3" fillId="19" borderId="11" xfId="0" applyNumberFormat="1" applyFont="1" applyFill="1" applyBorder="1" applyAlignment="1">
      <alignment horizontal="left" vertical="top" wrapText="1" readingOrder="1"/>
    </xf>
    <xf numFmtId="0" fontId="3" fillId="19" borderId="11" xfId="0" applyFont="1" applyFill="1" applyBorder="1" applyAlignment="1">
      <alignment horizontal="left" vertical="top" wrapText="1" readingOrder="1"/>
    </xf>
    <xf numFmtId="0" fontId="1" fillId="18" borderId="0" xfId="0" applyFont="1" applyFill="1"/>
    <xf numFmtId="0" fontId="6" fillId="18" borderId="0" xfId="0" applyFont="1" applyFill="1"/>
    <xf numFmtId="0" fontId="5" fillId="18" borderId="1" xfId="0" applyFont="1" applyFill="1" applyBorder="1"/>
    <xf numFmtId="0" fontId="7" fillId="18" borderId="1" xfId="0" applyFont="1" applyFill="1" applyBorder="1"/>
    <xf numFmtId="0" fontId="5" fillId="0" borderId="5" xfId="0" applyFont="1" applyBorder="1"/>
    <xf numFmtId="0" fontId="1" fillId="18" borderId="11" xfId="0" applyFont="1" applyFill="1" applyBorder="1"/>
    <xf numFmtId="0" fontId="4" fillId="18" borderId="11" xfId="0" applyFont="1" applyFill="1" applyBorder="1" applyAlignment="1">
      <alignment horizontal="right" vertical="top" wrapText="1" readingOrder="1"/>
    </xf>
    <xf numFmtId="0" fontId="4" fillId="18" borderId="11" xfId="0" applyFont="1" applyFill="1" applyBorder="1" applyAlignment="1">
      <alignment horizontal="left" vertical="top" wrapText="1" readingOrder="1"/>
    </xf>
    <xf numFmtId="0" fontId="5" fillId="18" borderId="11" xfId="0" applyFont="1" applyFill="1" applyBorder="1" applyAlignment="1">
      <alignment horizontal="left" indent="4" readingOrder="1"/>
    </xf>
    <xf numFmtId="0" fontId="0" fillId="18" borderId="11" xfId="0" applyFill="1" applyBorder="1"/>
    <xf numFmtId="0" fontId="49" fillId="18" borderId="0" xfId="0" applyFont="1" applyFill="1" applyAlignment="1">
      <alignment horizontal="left" indent="4" readingOrder="1"/>
    </xf>
    <xf numFmtId="0" fontId="50" fillId="18" borderId="0" xfId="0" applyFont="1" applyFill="1"/>
    <xf numFmtId="0" fontId="51" fillId="18" borderId="0" xfId="0" applyFont="1" applyFill="1" applyAlignment="1">
      <alignment horizontal="left" indent="4" readingOrder="1"/>
    </xf>
    <xf numFmtId="0" fontId="50" fillId="6" borderId="0" xfId="0" applyFont="1" applyFill="1"/>
    <xf numFmtId="0" fontId="52" fillId="0" borderId="1" xfId="0" applyFont="1" applyBorder="1" applyAlignment="1">
      <alignment horizontal="center"/>
    </xf>
    <xf numFmtId="0" fontId="51" fillId="6" borderId="0" xfId="0" applyFont="1" applyFill="1" applyBorder="1"/>
    <xf numFmtId="0" fontId="52" fillId="6" borderId="0" xfId="0" applyFont="1" applyFill="1" applyBorder="1"/>
    <xf numFmtId="0" fontId="50" fillId="6" borderId="15" xfId="0" applyFont="1" applyFill="1" applyBorder="1"/>
    <xf numFmtId="0" fontId="50" fillId="6" borderId="0" xfId="0" applyFont="1" applyFill="1" applyBorder="1"/>
    <xf numFmtId="0" fontId="50" fillId="6" borderId="12" xfId="0" applyFont="1" applyFill="1" applyBorder="1"/>
    <xf numFmtId="0" fontId="50" fillId="6" borderId="13" xfId="0" applyFont="1" applyFill="1" applyBorder="1"/>
    <xf numFmtId="0" fontId="50" fillId="6" borderId="14" xfId="0" applyFont="1" applyFill="1" applyBorder="1"/>
    <xf numFmtId="0" fontId="36" fillId="0" borderId="11" xfId="0" applyFont="1" applyBorder="1" applyAlignment="1">
      <alignment horizontal="center"/>
    </xf>
    <xf numFmtId="165" fontId="53" fillId="0" borderId="11" xfId="1" applyNumberFormat="1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9" fontId="53" fillId="0" borderId="11" xfId="0" applyNumberFormat="1" applyFont="1" applyBorder="1" applyAlignment="1">
      <alignment horizontal="center"/>
    </xf>
    <xf numFmtId="9" fontId="53" fillId="0" borderId="11" xfId="0" applyNumberFormat="1" applyFont="1" applyBorder="1" applyAlignment="1">
      <alignment horizontal="center" vertical="center"/>
    </xf>
    <xf numFmtId="165" fontId="53" fillId="0" borderId="11" xfId="1" applyNumberFormat="1" applyFont="1" applyBorder="1" applyAlignment="1">
      <alignment horizontal="center" vertical="center"/>
    </xf>
    <xf numFmtId="0" fontId="53" fillId="7" borderId="0" xfId="0" applyFont="1" applyFill="1" applyBorder="1" applyAlignment="1">
      <alignment horizontal="center"/>
    </xf>
    <xf numFmtId="0" fontId="36" fillId="20" borderId="11" xfId="0" applyFont="1" applyFill="1" applyBorder="1" applyAlignment="1">
      <alignment vertical="center"/>
    </xf>
    <xf numFmtId="0" fontId="36" fillId="20" borderId="11" xfId="0" applyFont="1" applyFill="1" applyBorder="1" applyAlignment="1">
      <alignment horizontal="center"/>
    </xf>
    <xf numFmtId="10" fontId="53" fillId="0" borderId="11" xfId="1" applyNumberFormat="1" applyFont="1" applyBorder="1" applyAlignment="1">
      <alignment horizontal="center"/>
    </xf>
    <xf numFmtId="4" fontId="53" fillId="0" borderId="11" xfId="0" applyNumberFormat="1" applyFont="1" applyBorder="1" applyAlignment="1">
      <alignment horizontal="center"/>
    </xf>
    <xf numFmtId="9" fontId="53" fillId="0" borderId="11" xfId="2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10" fontId="53" fillId="0" borderId="11" xfId="0" applyNumberFormat="1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2" fontId="53" fillId="0" borderId="11" xfId="0" applyNumberFormat="1" applyFont="1" applyBorder="1" applyAlignment="1">
      <alignment horizontal="center"/>
    </xf>
    <xf numFmtId="0" fontId="52" fillId="15" borderId="8" xfId="0" applyFont="1" applyFill="1" applyBorder="1"/>
    <xf numFmtId="0" fontId="50" fillId="15" borderId="9" xfId="0" applyFont="1" applyFill="1" applyBorder="1"/>
    <xf numFmtId="0" fontId="50" fillId="15" borderId="10" xfId="0" applyFont="1" applyFill="1" applyBorder="1"/>
    <xf numFmtId="0" fontId="50" fillId="6" borderId="16" xfId="0" applyFont="1" applyFill="1" applyBorder="1"/>
    <xf numFmtId="0" fontId="50" fillId="6" borderId="17" xfId="0" applyFont="1" applyFill="1" applyBorder="1"/>
    <xf numFmtId="0" fontId="50" fillId="6" borderId="18" xfId="0" applyFont="1" applyFill="1" applyBorder="1"/>
    <xf numFmtId="0" fontId="16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4" fontId="16" fillId="4" borderId="0" xfId="0" applyNumberFormat="1" applyFont="1" applyFill="1"/>
    <xf numFmtId="0" fontId="0" fillId="21" borderId="0" xfId="0" applyFill="1"/>
    <xf numFmtId="0" fontId="16" fillId="4" borderId="0" xfId="0" applyFont="1" applyFill="1" applyAlignment="1">
      <alignment horizontal="center"/>
    </xf>
    <xf numFmtId="0" fontId="15" fillId="4" borderId="8" xfId="0" applyFont="1" applyFill="1" applyBorder="1"/>
    <xf numFmtId="0" fontId="16" fillId="4" borderId="9" xfId="0" applyFont="1" applyFill="1" applyBorder="1"/>
    <xf numFmtId="0" fontId="16" fillId="4" borderId="9" xfId="0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15" fillId="4" borderId="9" xfId="0" applyFont="1" applyFill="1" applyBorder="1"/>
    <xf numFmtId="0" fontId="0" fillId="4" borderId="10" xfId="0" applyFill="1" applyBorder="1" applyAlignment="1">
      <alignment horizontal="center"/>
    </xf>
    <xf numFmtId="169" fontId="41" fillId="7" borderId="11" xfId="0" applyNumberFormat="1" applyFont="1" applyFill="1" applyBorder="1" applyAlignment="1">
      <alignment horizontal="center"/>
    </xf>
    <xf numFmtId="0" fontId="25" fillId="7" borderId="11" xfId="0" applyFont="1" applyFill="1" applyBorder="1"/>
    <xf numFmtId="168" fontId="25" fillId="7" borderId="11" xfId="0" applyNumberFormat="1" applyFont="1" applyFill="1" applyBorder="1"/>
    <xf numFmtId="168" fontId="25" fillId="7" borderId="11" xfId="0" applyNumberFormat="1" applyFont="1" applyFill="1" applyBorder="1" applyAlignment="1">
      <alignment horizontal="center"/>
    </xf>
    <xf numFmtId="14" fontId="25" fillId="7" borderId="11" xfId="0" applyNumberFormat="1" applyFont="1" applyFill="1" applyBorder="1" applyAlignment="1">
      <alignment horizontal="center"/>
    </xf>
    <xf numFmtId="0" fontId="25" fillId="7" borderId="11" xfId="0" applyNumberFormat="1" applyFont="1" applyFill="1" applyBorder="1" applyAlignment="1">
      <alignment horizontal="center"/>
    </xf>
    <xf numFmtId="0" fontId="25" fillId="7" borderId="11" xfId="0" applyFont="1" applyFill="1" applyBorder="1" applyAlignment="1">
      <alignment horizontal="center"/>
    </xf>
    <xf numFmtId="173" fontId="25" fillId="7" borderId="11" xfId="0" applyNumberFormat="1" applyFont="1" applyFill="1" applyBorder="1" applyAlignment="1">
      <alignment horizontal="center"/>
    </xf>
    <xf numFmtId="0" fontId="25" fillId="7" borderId="11" xfId="1" applyNumberFormat="1" applyFont="1" applyFill="1" applyBorder="1" applyAlignment="1">
      <alignment horizontal="center"/>
    </xf>
    <xf numFmtId="0" fontId="43" fillId="7" borderId="11" xfId="0" applyNumberFormat="1" applyFont="1" applyFill="1" applyBorder="1" applyAlignment="1">
      <alignment horizontal="center"/>
    </xf>
    <xf numFmtId="0" fontId="43" fillId="0" borderId="11" xfId="0" applyFont="1" applyBorder="1" applyAlignment="1">
      <alignment horizontal="center"/>
    </xf>
    <xf numFmtId="2" fontId="44" fillId="7" borderId="11" xfId="0" applyNumberFormat="1" applyFont="1" applyFill="1" applyBorder="1" applyAlignment="1">
      <alignment horizontal="center"/>
    </xf>
    <xf numFmtId="2" fontId="17" fillId="0" borderId="11" xfId="0" applyNumberFormat="1" applyFont="1" applyBorder="1" applyAlignment="1">
      <alignment horizontal="center"/>
    </xf>
    <xf numFmtId="0" fontId="41" fillId="7" borderId="11" xfId="0" applyFont="1" applyFill="1" applyBorder="1" applyAlignment="1">
      <alignment horizontal="center"/>
    </xf>
    <xf numFmtId="0" fontId="42" fillId="7" borderId="11" xfId="0" applyFont="1" applyFill="1" applyBorder="1" applyAlignment="1">
      <alignment horizontal="center"/>
    </xf>
    <xf numFmtId="0" fontId="43" fillId="7" borderId="11" xfId="0" applyFont="1" applyFill="1" applyBorder="1"/>
    <xf numFmtId="0" fontId="43" fillId="7" borderId="11" xfId="0" applyFont="1" applyFill="1" applyBorder="1" applyAlignment="1">
      <alignment horizontal="center"/>
    </xf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0" fontId="0" fillId="0" borderId="11" xfId="0" applyBorder="1"/>
    <xf numFmtId="0" fontId="14" fillId="22" borderId="2" xfId="0" applyFont="1" applyFill="1" applyBorder="1" applyAlignment="1">
      <alignment horizontal="center" vertical="center" wrapText="1"/>
    </xf>
    <xf numFmtId="0" fontId="14" fillId="22" borderId="32" xfId="0" applyFont="1" applyFill="1" applyBorder="1" applyAlignment="1">
      <alignment horizontal="center" vertical="center" wrapText="1"/>
    </xf>
    <xf numFmtId="0" fontId="0" fillId="22" borderId="0" xfId="0" applyFill="1"/>
    <xf numFmtId="0" fontId="14" fillId="22" borderId="3" xfId="0" applyFont="1" applyFill="1" applyBorder="1" applyAlignment="1">
      <alignment horizontal="center" vertical="center" wrapText="1"/>
    </xf>
    <xf numFmtId="9" fontId="13" fillId="22" borderId="32" xfId="0" applyNumberFormat="1" applyFont="1" applyFill="1" applyBorder="1" applyAlignment="1">
      <alignment horizontal="center"/>
    </xf>
    <xf numFmtId="0" fontId="14" fillId="19" borderId="32" xfId="0" applyFont="1" applyFill="1" applyBorder="1" applyAlignment="1">
      <alignment horizontal="center" vertical="center" wrapText="1"/>
    </xf>
    <xf numFmtId="0" fontId="14" fillId="19" borderId="77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horizontal="center" vertical="center" wrapText="1"/>
    </xf>
    <xf numFmtId="0" fontId="0" fillId="19" borderId="0" xfId="0" applyFill="1"/>
    <xf numFmtId="0" fontId="15" fillId="22" borderId="8" xfId="0" applyFont="1" applyFill="1" applyBorder="1"/>
    <xf numFmtId="0" fontId="16" fillId="22" borderId="9" xfId="0" applyFont="1" applyFill="1" applyBorder="1"/>
    <xf numFmtId="0" fontId="16" fillId="22" borderId="10" xfId="0" applyFont="1" applyFill="1" applyBorder="1" applyAlignment="1">
      <alignment horizontal="center"/>
    </xf>
    <xf numFmtId="0" fontId="15" fillId="22" borderId="9" xfId="0" applyFont="1" applyFill="1" applyBorder="1"/>
    <xf numFmtId="0" fontId="0" fillId="22" borderId="10" xfId="0" applyFill="1" applyBorder="1"/>
    <xf numFmtId="0" fontId="9" fillId="22" borderId="0" xfId="0" applyFont="1" applyFill="1"/>
    <xf numFmtId="9" fontId="0" fillId="22" borderId="0" xfId="0" applyNumberFormat="1" applyFill="1"/>
    <xf numFmtId="0" fontId="19" fillId="8" borderId="19" xfId="0" applyFont="1" applyFill="1" applyBorder="1" applyAlignment="1">
      <alignment horizontal="center" vertical="center"/>
    </xf>
    <xf numFmtId="49" fontId="20" fillId="8" borderId="19" xfId="0" applyNumberFormat="1" applyFont="1" applyFill="1" applyBorder="1" applyAlignment="1">
      <alignment horizontal="center"/>
    </xf>
    <xf numFmtId="0" fontId="19" fillId="7" borderId="0" xfId="0" applyFont="1" applyFill="1" applyBorder="1" applyAlignment="1">
      <alignment horizontal="center" vertical="center"/>
    </xf>
    <xf numFmtId="49" fontId="19" fillId="8" borderId="19" xfId="0" applyNumberFormat="1" applyFont="1" applyFill="1" applyBorder="1" applyAlignment="1">
      <alignment horizontal="center" vertical="center"/>
    </xf>
    <xf numFmtId="0" fontId="19" fillId="8" borderId="28" xfId="0" applyFont="1" applyFill="1" applyBorder="1" applyAlignment="1">
      <alignment horizontal="center" vertical="center"/>
    </xf>
    <xf numFmtId="0" fontId="36" fillId="20" borderId="86" xfId="0" applyFont="1" applyFill="1" applyBorder="1" applyAlignment="1">
      <alignment horizontal="center" vertical="center"/>
    </xf>
    <xf numFmtId="0" fontId="36" fillId="20" borderId="87" xfId="0" applyFont="1" applyFill="1" applyBorder="1" applyAlignment="1">
      <alignment horizontal="center" vertical="center"/>
    </xf>
    <xf numFmtId="0" fontId="36" fillId="20" borderId="11" xfId="0" applyFont="1" applyFill="1" applyBorder="1" applyAlignment="1">
      <alignment horizontal="center" vertical="center"/>
    </xf>
    <xf numFmtId="0" fontId="36" fillId="2" borderId="86" xfId="0" applyFont="1" applyFill="1" applyBorder="1" applyAlignment="1">
      <alignment horizontal="center" vertical="center"/>
    </xf>
    <xf numFmtId="0" fontId="36" fillId="2" borderId="87" xfId="0" applyFont="1" applyFill="1" applyBorder="1" applyAlignment="1">
      <alignment horizontal="center" vertical="center"/>
    </xf>
    <xf numFmtId="0" fontId="17" fillId="22" borderId="33" xfId="0" applyFont="1" applyFill="1" applyBorder="1" applyAlignment="1">
      <alignment vertical="top" wrapText="1"/>
    </xf>
    <xf numFmtId="0" fontId="17" fillId="22" borderId="34" xfId="0" applyFont="1" applyFill="1" applyBorder="1" applyAlignment="1">
      <alignment vertical="top"/>
    </xf>
    <xf numFmtId="0" fontId="17" fillId="22" borderId="35" xfId="0" applyFont="1" applyFill="1" applyBorder="1" applyAlignment="1">
      <alignment vertical="top"/>
    </xf>
    <xf numFmtId="0" fontId="17" fillId="19" borderId="33" xfId="0" applyFont="1" applyFill="1" applyBorder="1" applyAlignment="1">
      <alignment horizontal="center" vertical="top" wrapText="1"/>
    </xf>
    <xf numFmtId="0" fontId="17" fillId="19" borderId="34" xfId="0" applyFont="1" applyFill="1" applyBorder="1" applyAlignment="1">
      <alignment horizontal="center" vertical="top"/>
    </xf>
    <xf numFmtId="0" fontId="17" fillId="19" borderId="35" xfId="0" applyFont="1" applyFill="1" applyBorder="1" applyAlignment="1">
      <alignment horizontal="center" vertical="top"/>
    </xf>
    <xf numFmtId="171" fontId="35" fillId="7" borderId="81" xfId="1" applyNumberFormat="1" applyFont="1" applyFill="1" applyBorder="1" applyAlignment="1">
      <alignment horizontal="right"/>
    </xf>
    <xf numFmtId="171" fontId="35" fillId="7" borderId="82" xfId="1" applyNumberFormat="1" applyFont="1" applyFill="1" applyBorder="1" applyAlignment="1">
      <alignment horizontal="right"/>
    </xf>
    <xf numFmtId="172" fontId="35" fillId="0" borderId="84" xfId="1" applyNumberFormat="1" applyFont="1" applyBorder="1"/>
    <xf numFmtId="172" fontId="35" fillId="0" borderId="85" xfId="1" applyNumberFormat="1" applyFont="1" applyBorder="1"/>
    <xf numFmtId="0" fontId="33" fillId="20" borderId="0" xfId="0" applyFont="1" applyFill="1" applyAlignment="1">
      <alignment horizontal="center"/>
    </xf>
    <xf numFmtId="0" fontId="34" fillId="13" borderId="41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4" fillId="13" borderId="57" xfId="0" applyFont="1" applyFill="1" applyBorder="1" applyAlignment="1">
      <alignment horizontal="center"/>
    </xf>
    <xf numFmtId="0" fontId="34" fillId="13" borderId="55" xfId="0" applyFont="1" applyFill="1" applyBorder="1" applyAlignment="1">
      <alignment horizontal="center"/>
    </xf>
    <xf numFmtId="171" fontId="35" fillId="0" borderId="61" xfId="1" applyNumberFormat="1" applyFont="1" applyBorder="1" applyAlignment="1">
      <alignment horizontal="right"/>
    </xf>
    <xf numFmtId="171" fontId="35" fillId="0" borderId="59" xfId="1" applyNumberFormat="1" applyFont="1" applyBorder="1" applyAlignment="1">
      <alignment horizontal="right"/>
    </xf>
    <xf numFmtId="4" fontId="35" fillId="0" borderId="45" xfId="1" applyNumberFormat="1" applyFont="1" applyBorder="1" applyAlignment="1">
      <alignment horizontal="right"/>
    </xf>
    <xf numFmtId="4" fontId="35" fillId="0" borderId="44" xfId="1" applyNumberFormat="1" applyFont="1" applyBorder="1" applyAlignment="1">
      <alignment horizontal="right"/>
    </xf>
    <xf numFmtId="172" fontId="35" fillId="0" borderId="45" xfId="1" applyNumberFormat="1" applyFont="1" applyBorder="1"/>
    <xf numFmtId="172" fontId="35" fillId="0" borderId="44" xfId="1" applyNumberFormat="1" applyFont="1" applyBorder="1"/>
    <xf numFmtId="2" fontId="35" fillId="0" borderId="45" xfId="1" applyNumberFormat="1" applyFont="1" applyBorder="1" applyAlignment="1">
      <alignment horizontal="right"/>
    </xf>
    <xf numFmtId="2" fontId="35" fillId="0" borderId="44" xfId="1" applyNumberFormat="1" applyFont="1" applyBorder="1" applyAlignment="1">
      <alignment horizontal="right"/>
    </xf>
    <xf numFmtId="0" fontId="32" fillId="12" borderId="71" xfId="0" applyFont="1" applyFill="1" applyBorder="1" applyAlignment="1">
      <alignment horizontal="center"/>
    </xf>
    <xf numFmtId="0" fontId="32" fillId="12" borderId="72" xfId="0" applyFont="1" applyFill="1" applyBorder="1" applyAlignment="1">
      <alignment horizontal="center"/>
    </xf>
    <xf numFmtId="0" fontId="32" fillId="12" borderId="73" xfId="0" applyFont="1" applyFill="1" applyBorder="1" applyAlignment="1">
      <alignment horizontal="center"/>
    </xf>
    <xf numFmtId="0" fontId="32" fillId="12" borderId="75" xfId="0" applyFont="1" applyFill="1" applyBorder="1" applyAlignment="1">
      <alignment horizontal="center"/>
    </xf>
    <xf numFmtId="0" fontId="32" fillId="12" borderId="39" xfId="0" applyFont="1" applyFill="1" applyBorder="1" applyAlignment="1">
      <alignment horizontal="center"/>
    </xf>
    <xf numFmtId="0" fontId="32" fillId="12" borderId="76" xfId="0" applyFont="1" applyFill="1" applyBorder="1" applyAlignment="1">
      <alignment horizontal="center"/>
    </xf>
    <xf numFmtId="171" fontId="35" fillId="0" borderId="60" xfId="1" applyNumberFormat="1" applyFont="1" applyBorder="1" applyAlignment="1">
      <alignment horizontal="right"/>
    </xf>
    <xf numFmtId="171" fontId="35" fillId="0" borderId="83" xfId="1" applyNumberFormat="1" applyFont="1" applyBorder="1" applyAlignment="1">
      <alignment horizontal="right"/>
    </xf>
    <xf numFmtId="0" fontId="13" fillId="7" borderId="2" xfId="0" applyFont="1" applyFill="1" applyBorder="1" applyAlignment="1">
      <alignment horizontal="center" vertical="top" wrapText="1"/>
    </xf>
    <xf numFmtId="0" fontId="13" fillId="7" borderId="4" xfId="0" applyFont="1" applyFill="1" applyBorder="1" applyAlignment="1">
      <alignment horizontal="center" vertical="top"/>
    </xf>
    <xf numFmtId="0" fontId="13" fillId="7" borderId="4" xfId="0" applyFont="1" applyFill="1" applyBorder="1" applyAlignment="1">
      <alignment horizontal="center" vertical="top" wrapText="1"/>
    </xf>
    <xf numFmtId="0" fontId="13" fillId="7" borderId="2" xfId="0" applyFont="1" applyFill="1" applyBorder="1" applyAlignment="1">
      <alignment horizontal="center" vertical="top"/>
    </xf>
    <xf numFmtId="0" fontId="9" fillId="7" borderId="8" xfId="0" applyFont="1" applyFill="1" applyBorder="1" applyAlignment="1">
      <alignment horizontal="center" vertical="top"/>
    </xf>
    <xf numFmtId="0" fontId="9" fillId="7" borderId="9" xfId="0" applyFont="1" applyFill="1" applyBorder="1" applyAlignment="1">
      <alignment horizontal="center" vertical="top"/>
    </xf>
    <xf numFmtId="0" fontId="9" fillId="7" borderId="10" xfId="0" applyFont="1" applyFill="1" applyBorder="1" applyAlignment="1">
      <alignment horizontal="center" vertical="top"/>
    </xf>
    <xf numFmtId="0" fontId="31" fillId="7" borderId="37" xfId="0" applyFont="1" applyFill="1" applyBorder="1" applyAlignment="1">
      <alignment horizontal="center" vertical="center"/>
    </xf>
    <xf numFmtId="0" fontId="30" fillId="11" borderId="37" xfId="0" applyFont="1" applyFill="1" applyBorder="1" applyAlignment="1">
      <alignment horizontal="center" vertical="center"/>
    </xf>
    <xf numFmtId="0" fontId="30" fillId="11" borderId="37" xfId="0" applyFont="1" applyFill="1" applyBorder="1" applyAlignment="1">
      <alignment horizontal="center" vertical="center" wrapText="1"/>
    </xf>
    <xf numFmtId="3" fontId="30" fillId="11" borderId="37" xfId="0" applyNumberFormat="1" applyFont="1" applyFill="1" applyBorder="1" applyAlignment="1">
      <alignment horizontal="center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externalLink" Target="externalLinks/externalLink1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FICHE SALARIES'!A1" /><Relationship Id="rId7" Type="http://schemas.openxmlformats.org/officeDocument/2006/relationships/hyperlink" Target="#CNSS!A1" /><Relationship Id="rId2" Type="http://schemas.openxmlformats.org/officeDocument/2006/relationships/hyperlink" Target="#PARAMETRAGE!A1" /><Relationship Id="rId1" Type="http://schemas.openxmlformats.org/officeDocument/2006/relationships/hyperlink" Target="#'A SAVOIR'!A1" /><Relationship Id="rId6" Type="http://schemas.openxmlformats.org/officeDocument/2006/relationships/hyperlink" Target="#'LIVRE PAIE '!A1" /><Relationship Id="rId5" Type="http://schemas.openxmlformats.org/officeDocument/2006/relationships/hyperlink" Target="#PAIE!A1" /><Relationship Id="rId4" Type="http://schemas.openxmlformats.org/officeDocument/2006/relationships/hyperlink" Target="#'CALCUL SB &amp; HS'!A1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OMMAIRE!A1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OMMAIRE!A1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OMMAIRE!A1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OMMAIRE!A1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OMMAIRE!A1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OMMAIRE!A1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OMMAIRE!A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66453</xdr:colOff>
      <xdr:row>10</xdr:row>
      <xdr:rowOff>0</xdr:rowOff>
    </xdr:from>
    <xdr:to>
      <xdr:col>0</xdr:col>
      <xdr:colOff>1672413</xdr:colOff>
      <xdr:row>11</xdr:row>
      <xdr:rowOff>99680</xdr:rowOff>
    </xdr:to>
    <xdr:sp macro="" textlink="">
      <xdr:nvSpPr>
        <xdr:cNvPr id="2" name="Rectangle à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453" y="2026831"/>
          <a:ext cx="1605960" cy="299041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 SAVOIR</a:t>
          </a:r>
        </a:p>
      </xdr:txBody>
    </xdr:sp>
    <xdr:clientData/>
  </xdr:twoCellAnchor>
  <xdr:twoCellAnchor>
    <xdr:from>
      <xdr:col>0</xdr:col>
      <xdr:colOff>66454</xdr:colOff>
      <xdr:row>13</xdr:row>
      <xdr:rowOff>1</xdr:rowOff>
    </xdr:from>
    <xdr:to>
      <xdr:col>0</xdr:col>
      <xdr:colOff>1661337</xdr:colOff>
      <xdr:row>14</xdr:row>
      <xdr:rowOff>99681</xdr:rowOff>
    </xdr:to>
    <xdr:sp macro="" textlink="">
      <xdr:nvSpPr>
        <xdr:cNvPr id="3" name="Rectangle à coins arrondi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6454" y="2613838"/>
          <a:ext cx="1594883" cy="299041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PARAMETRAGE</a:t>
          </a:r>
        </a:p>
      </xdr:txBody>
    </xdr:sp>
    <xdr:clientData/>
  </xdr:twoCellAnchor>
  <xdr:twoCellAnchor>
    <xdr:from>
      <xdr:col>0</xdr:col>
      <xdr:colOff>66456</xdr:colOff>
      <xdr:row>16</xdr:row>
      <xdr:rowOff>0</xdr:rowOff>
    </xdr:from>
    <xdr:to>
      <xdr:col>0</xdr:col>
      <xdr:colOff>1661339</xdr:colOff>
      <xdr:row>17</xdr:row>
      <xdr:rowOff>99681</xdr:rowOff>
    </xdr:to>
    <xdr:sp macro="" textlink="">
      <xdr:nvSpPr>
        <xdr:cNvPr id="7" name="Rectangle à coins arrondi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6456" y="3211919"/>
          <a:ext cx="1594883" cy="299041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FICHE</a:t>
          </a:r>
          <a:r>
            <a:rPr lang="fr-FR" sz="12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SALARIES</a:t>
          </a:r>
          <a:endParaRPr lang="fr-FR" sz="12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77532</xdr:colOff>
      <xdr:row>18</xdr:row>
      <xdr:rowOff>166124</xdr:rowOff>
    </xdr:from>
    <xdr:to>
      <xdr:col>0</xdr:col>
      <xdr:colOff>1672415</xdr:colOff>
      <xdr:row>20</xdr:row>
      <xdr:rowOff>55369</xdr:rowOff>
    </xdr:to>
    <xdr:sp macro="" textlink="">
      <xdr:nvSpPr>
        <xdr:cNvPr id="8" name="Rectangle à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7532" y="3776764"/>
          <a:ext cx="1594883" cy="299041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 DE CALCUL </a:t>
          </a:r>
        </a:p>
      </xdr:txBody>
    </xdr:sp>
    <xdr:clientData/>
  </xdr:twoCellAnchor>
  <xdr:twoCellAnchor>
    <xdr:from>
      <xdr:col>0</xdr:col>
      <xdr:colOff>66456</xdr:colOff>
      <xdr:row>21</xdr:row>
      <xdr:rowOff>66448</xdr:rowOff>
    </xdr:from>
    <xdr:to>
      <xdr:col>0</xdr:col>
      <xdr:colOff>1661339</xdr:colOff>
      <xdr:row>23</xdr:row>
      <xdr:rowOff>33227</xdr:rowOff>
    </xdr:to>
    <xdr:sp macro="" textlink="">
      <xdr:nvSpPr>
        <xdr:cNvPr id="9" name="Rectangle à coins arrondi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6456" y="4286245"/>
          <a:ext cx="1594883" cy="365499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BULLETIN</a:t>
          </a:r>
          <a:r>
            <a:rPr lang="fr-FR" sz="12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DE PAIE</a:t>
          </a:r>
          <a:endParaRPr lang="fr-FR" sz="12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66453</xdr:colOff>
      <xdr:row>24</xdr:row>
      <xdr:rowOff>66454</xdr:rowOff>
    </xdr:from>
    <xdr:to>
      <xdr:col>0</xdr:col>
      <xdr:colOff>1661336</xdr:colOff>
      <xdr:row>26</xdr:row>
      <xdr:rowOff>33232</xdr:rowOff>
    </xdr:to>
    <xdr:sp macro="" textlink="">
      <xdr:nvSpPr>
        <xdr:cNvPr id="10" name="Rectangle à coins arrondi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453" y="4884332"/>
          <a:ext cx="1594883" cy="365499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LIVRE</a:t>
          </a:r>
          <a:r>
            <a:rPr lang="fr-FR" sz="12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DE PAIE</a:t>
          </a:r>
          <a:endParaRPr lang="fr-FR" sz="12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77529</xdr:colOff>
      <xdr:row>27</xdr:row>
      <xdr:rowOff>99680</xdr:rowOff>
    </xdr:from>
    <xdr:to>
      <xdr:col>0</xdr:col>
      <xdr:colOff>1672412</xdr:colOff>
      <xdr:row>29</xdr:row>
      <xdr:rowOff>77533</xdr:rowOff>
    </xdr:to>
    <xdr:sp macro="" textlink="">
      <xdr:nvSpPr>
        <xdr:cNvPr id="11" name="Rectangle à coins arrondis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7529" y="5515639"/>
          <a:ext cx="1594883" cy="365499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CNSS</a:t>
          </a:r>
        </a:p>
      </xdr:txBody>
    </xdr:sp>
    <xdr:clientData/>
  </xdr:twoCellAnchor>
  <xdr:twoCellAnchor>
    <xdr:from>
      <xdr:col>0</xdr:col>
      <xdr:colOff>631308</xdr:colOff>
      <xdr:row>2</xdr:row>
      <xdr:rowOff>44302</xdr:rowOff>
    </xdr:from>
    <xdr:to>
      <xdr:col>0</xdr:col>
      <xdr:colOff>1162935</xdr:colOff>
      <xdr:row>8</xdr:row>
      <xdr:rowOff>0</xdr:rowOff>
    </xdr:to>
    <xdr:sp macro="" textlink="">
      <xdr:nvSpPr>
        <xdr:cNvPr id="12" name="Flèche vers le ba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31308" y="520552"/>
          <a:ext cx="531627" cy="11629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0</xdr:rowOff>
    </xdr:from>
    <xdr:to>
      <xdr:col>4</xdr:col>
      <xdr:colOff>2028825</xdr:colOff>
      <xdr:row>2</xdr:row>
      <xdr:rowOff>85725</xdr:rowOff>
    </xdr:to>
    <xdr:sp macro="" textlink="">
      <xdr:nvSpPr>
        <xdr:cNvPr id="2" name="Rectangle à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981825" y="190500"/>
          <a:ext cx="1771650" cy="2762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</a:rPr>
            <a:t>RETOUR AU</a:t>
          </a:r>
          <a:r>
            <a:rPr lang="fr-FR" sz="1200" b="1" baseline="0">
              <a:solidFill>
                <a:sysClr val="windowText" lastClr="000000"/>
              </a:solidFill>
            </a:rPr>
            <a:t> SOMMAIRE</a:t>
          </a:r>
          <a:endParaRPr lang="fr-FR" sz="12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1171575</xdr:colOff>
      <xdr:row>0</xdr:row>
      <xdr:rowOff>190500</xdr:rowOff>
    </xdr:from>
    <xdr:to>
      <xdr:col>7</xdr:col>
      <xdr:colOff>1047750</xdr:colOff>
      <xdr:row>2</xdr:row>
      <xdr:rowOff>142875</xdr:rowOff>
    </xdr:to>
    <xdr:sp macro="" textlink="">
      <xdr:nvSpPr>
        <xdr:cNvPr id="2" name="Rectangle à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953250" y="190500"/>
          <a:ext cx="2076450" cy="3524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RETOUR AU SOMMAIRE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123825</xdr:rowOff>
    </xdr:from>
    <xdr:to>
      <xdr:col>8</xdr:col>
      <xdr:colOff>333375</xdr:colOff>
      <xdr:row>3</xdr:row>
      <xdr:rowOff>247650</xdr:rowOff>
    </xdr:to>
    <xdr:sp macro="" textlink="">
      <xdr:nvSpPr>
        <xdr:cNvPr id="4" name="Rectangle à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372100" y="657225"/>
          <a:ext cx="2095500" cy="3905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RETOUR</a:t>
          </a:r>
          <a:r>
            <a:rPr lang="fr-FR" sz="12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AU SOMMAIRE</a:t>
          </a:r>
          <a:endParaRPr lang="fr-FR" sz="12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0</xdr:row>
      <xdr:rowOff>76200</xdr:rowOff>
    </xdr:from>
    <xdr:to>
      <xdr:col>10</xdr:col>
      <xdr:colOff>485775</xdr:colOff>
      <xdr:row>1</xdr:row>
      <xdr:rowOff>95250</xdr:rowOff>
    </xdr:to>
    <xdr:sp macro="" textlink="">
      <xdr:nvSpPr>
        <xdr:cNvPr id="2" name="Rectangle à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924674" y="76200"/>
          <a:ext cx="2257426" cy="2857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RETOUR AU</a:t>
          </a:r>
          <a:r>
            <a:rPr lang="fr-FR" sz="12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SOMMAIRE</a:t>
          </a:r>
          <a:endParaRPr lang="fr-FR" sz="12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161925</xdr:rowOff>
    </xdr:from>
    <xdr:to>
      <xdr:col>9</xdr:col>
      <xdr:colOff>57150</xdr:colOff>
      <xdr:row>5</xdr:row>
      <xdr:rowOff>123825</xdr:rowOff>
    </xdr:to>
    <xdr:sp macro="" textlink="">
      <xdr:nvSpPr>
        <xdr:cNvPr id="4" name="Rectangle à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7448550" y="733425"/>
          <a:ext cx="2143125" cy="38100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RETOUR AU</a:t>
          </a:r>
          <a:r>
            <a:rPr lang="fr-FR" sz="12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SOMMAIRE</a:t>
          </a:r>
          <a:endParaRPr lang="fr-FR" sz="12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76200</xdr:rowOff>
    </xdr:from>
    <xdr:to>
      <xdr:col>10</xdr:col>
      <xdr:colOff>438150</xdr:colOff>
      <xdr:row>3</xdr:row>
      <xdr:rowOff>180975</xdr:rowOff>
    </xdr:to>
    <xdr:sp macro="" textlink="">
      <xdr:nvSpPr>
        <xdr:cNvPr id="2" name="Rectangle à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315075" y="457200"/>
          <a:ext cx="2286000" cy="37147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RETOUR</a:t>
          </a:r>
          <a:r>
            <a:rPr lang="fr-FR" sz="12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AU SOMMAIRE</a:t>
          </a:r>
          <a:endParaRPr lang="fr-FR" sz="12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777875</xdr:colOff>
      <xdr:row>3</xdr:row>
      <xdr:rowOff>60325</xdr:rowOff>
    </xdr:from>
    <xdr:to>
      <xdr:col>3</xdr:col>
      <xdr:colOff>628650</xdr:colOff>
      <xdr:row>3</xdr:row>
      <xdr:rowOff>260350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777875" y="965200"/>
          <a:ext cx="4432300" cy="2000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fr-FR" sz="3600" b="1" i="1" kern="10" spc="0">
              <a:ln w="9525">
                <a:noFill/>
                <a:round/>
                <a:headEnd/>
                <a:tailEnd/>
              </a:ln>
              <a:solidFill>
                <a:srgbClr val="000000"/>
              </a:solidFill>
              <a:effectLst>
                <a:outerShdw dist="40186" dir="1096358" algn="ctr" rotWithShape="0">
                  <a:srgbClr val="C0C0C0"/>
                </a:outerShdw>
              </a:effectLst>
              <a:latin typeface="Times New Roman"/>
              <a:cs typeface="Times New Roman"/>
            </a:rPr>
            <a:t>Etat de la Caisse Nationale de la Sécurité Sociale</a:t>
          </a:r>
        </a:p>
      </xdr:txBody>
    </xdr:sp>
    <xdr:clientData/>
  </xdr:twoCellAnchor>
  <xdr:twoCellAnchor>
    <xdr:from>
      <xdr:col>1</xdr:col>
      <xdr:colOff>504826</xdr:colOff>
      <xdr:row>1</xdr:row>
      <xdr:rowOff>0</xdr:rowOff>
    </xdr:from>
    <xdr:to>
      <xdr:col>2</xdr:col>
      <xdr:colOff>1057276</xdr:colOff>
      <xdr:row>2</xdr:row>
      <xdr:rowOff>123825</xdr:rowOff>
    </xdr:to>
    <xdr:sp macro="" textlink="">
      <xdr:nvSpPr>
        <xdr:cNvPr id="3" name="Rectangle à coins arrondi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2466976" y="190500"/>
          <a:ext cx="2171700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RETOUR</a:t>
          </a:r>
          <a:r>
            <a:rPr lang="fr-FR" sz="12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AU SOMMAIRE</a:t>
          </a:r>
          <a:endParaRPr lang="fr-FR" sz="12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ssan/Bureau/Paie%202010%20(%20SIMOTIC%20)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RAGE"/>
      <sheetName val="INFORMATION SOCIETE"/>
      <sheetName val="LISTE"/>
      <sheetName val="MENU"/>
      <sheetName val="FICHE DE SALAIRE"/>
      <sheetName val="IR"/>
      <sheetName val="CNSS &amp; AMO"/>
    </sheetNames>
    <sheetDataSet>
      <sheetData sheetId="0"/>
      <sheetData sheetId="1"/>
      <sheetData sheetId="2">
        <row r="8">
          <cell r="A8" t="str">
            <v>Mle</v>
          </cell>
          <cell r="B8" t="str">
            <v>Nom</v>
          </cell>
          <cell r="C8" t="str">
            <v>Prénom</v>
          </cell>
          <cell r="D8" t="str">
            <v>Fonction</v>
          </cell>
          <cell r="E8" t="str">
            <v>Date embauche</v>
          </cell>
          <cell r="F8" t="str">
            <v>Date naiss</v>
          </cell>
          <cell r="G8" t="str">
            <v>Paie de</v>
          </cell>
          <cell r="H8" t="str">
            <v>Situation de fam</v>
          </cell>
          <cell r="I8" t="str">
            <v>NB DED</v>
          </cell>
          <cell r="J8" t="str">
            <v>CNSS</v>
          </cell>
          <cell r="K8" t="str">
            <v>SALAIRE DE BASE</v>
          </cell>
        </row>
        <row r="9">
          <cell r="A9">
            <v>1</v>
          </cell>
          <cell r="B9" t="str">
            <v>idberka redouane</v>
          </cell>
          <cell r="C9" t="str">
            <v>REDOUANE</v>
          </cell>
          <cell r="D9" t="str">
            <v>comptable</v>
          </cell>
          <cell r="E9">
            <v>40634</v>
          </cell>
          <cell r="F9">
            <v>31875</v>
          </cell>
          <cell r="G9">
            <v>40664</v>
          </cell>
          <cell r="H9" t="str">
            <v>C</v>
          </cell>
          <cell r="I9">
            <v>0</v>
          </cell>
          <cell r="J9">
            <v>19222222</v>
          </cell>
          <cell r="K9">
            <v>3500</v>
          </cell>
        </row>
        <row r="10">
          <cell r="A10">
            <v>2</v>
          </cell>
          <cell r="B10" t="str">
            <v>hamouda</v>
          </cell>
          <cell r="C10" t="str">
            <v>NABIL</v>
          </cell>
          <cell r="D10" t="str">
            <v>commercial</v>
          </cell>
          <cell r="E10">
            <v>40634</v>
          </cell>
          <cell r="F10">
            <v>26196</v>
          </cell>
          <cell r="G10">
            <v>40664</v>
          </cell>
          <cell r="H10" t="str">
            <v>M</v>
          </cell>
          <cell r="I10">
            <v>3</v>
          </cell>
          <cell r="J10">
            <v>125728145</v>
          </cell>
          <cell r="K10">
            <v>4500</v>
          </cell>
        </row>
        <row r="11">
          <cell r="A11">
            <v>3</v>
          </cell>
          <cell r="C11" t="str">
            <v>SAID</v>
          </cell>
        </row>
        <row r="12">
          <cell r="A12">
            <v>4</v>
          </cell>
          <cell r="C12" t="str">
            <v>MAJD</v>
          </cell>
        </row>
        <row r="13">
          <cell r="A13">
            <v>5</v>
          </cell>
          <cell r="C13" t="str">
            <v>NAJAT</v>
          </cell>
        </row>
        <row r="14">
          <cell r="A14">
            <v>6</v>
          </cell>
          <cell r="C14" t="str">
            <v>LAMRANI</v>
          </cell>
        </row>
        <row r="15">
          <cell r="A15">
            <v>7</v>
          </cell>
          <cell r="C15" t="str">
            <v>DRISS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5.bin" /><Relationship Id="rId4" Type="http://schemas.openxmlformats.org/officeDocument/2006/relationships/comments" Target="../comments1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53"/>
  <sheetViews>
    <sheetView topLeftCell="A6" zoomScale="86" zoomScaleNormal="86" workbookViewId="0"/>
  </sheetViews>
  <sheetFormatPr defaultColWidth="26.6328125" defaultRowHeight="15" x14ac:dyDescent="0.2"/>
  <cols>
    <col min="1" max="1" width="25.15234375" style="24" customWidth="1"/>
    <col min="2" max="2" width="25.9609375" style="25" customWidth="1"/>
    <col min="3" max="3" width="28.515625" style="24" bestFit="1" customWidth="1"/>
    <col min="4" max="4" width="2.5546875" style="24" customWidth="1"/>
    <col min="5" max="5" width="21.38671875" style="94" customWidth="1"/>
    <col min="6" max="6" width="30.66796875" style="26" customWidth="1"/>
    <col min="7" max="7" width="22.328125" style="25" customWidth="1"/>
    <col min="8" max="8" width="26.6328125" style="26"/>
    <col min="9" max="9" width="3.49609375" style="24" customWidth="1"/>
    <col min="10" max="16384" width="26.6328125" style="24"/>
  </cols>
  <sheetData>
    <row r="1" spans="1:9" ht="15.75" thickBot="1" x14ac:dyDescent="0.25">
      <c r="B1" s="23"/>
    </row>
    <row r="2" spans="1:9" ht="21.75" thickBot="1" x14ac:dyDescent="0.35">
      <c r="A2" s="287" t="s">
        <v>243</v>
      </c>
      <c r="B2" s="27"/>
      <c r="C2" s="286">
        <f ca="1">TODAY()</f>
        <v>45496</v>
      </c>
      <c r="F2" s="243"/>
      <c r="G2" s="29"/>
    </row>
    <row r="3" spans="1:9" ht="15.75" thickBot="1" x14ac:dyDescent="0.25">
      <c r="B3" s="30"/>
      <c r="E3" s="95"/>
      <c r="I3" s="31"/>
    </row>
    <row r="4" spans="1:9" ht="16.5" thickTop="1" thickBot="1" x14ac:dyDescent="0.25">
      <c r="B4" s="32"/>
      <c r="C4" s="33"/>
      <c r="D4" s="33"/>
      <c r="E4" s="96"/>
      <c r="F4" s="35"/>
      <c r="G4" s="34"/>
      <c r="H4" s="35"/>
      <c r="I4" s="36"/>
    </row>
    <row r="5" spans="1:9" ht="15.75" thickBot="1" x14ac:dyDescent="0.25">
      <c r="B5" s="87" t="s">
        <v>242</v>
      </c>
      <c r="C5" s="72" t="s">
        <v>276</v>
      </c>
      <c r="D5" s="38"/>
      <c r="E5" s="97" t="s">
        <v>77</v>
      </c>
      <c r="F5" s="388" t="s">
        <v>275</v>
      </c>
      <c r="G5" s="388"/>
      <c r="H5" s="388"/>
      <c r="I5" s="39"/>
    </row>
    <row r="6" spans="1:9" ht="15.75" thickBot="1" x14ac:dyDescent="0.25">
      <c r="B6" s="87"/>
      <c r="C6" s="40"/>
      <c r="D6" s="38"/>
      <c r="E6" s="98"/>
      <c r="F6" s="42"/>
      <c r="G6" s="41"/>
      <c r="H6" s="42"/>
      <c r="I6" s="39"/>
    </row>
    <row r="7" spans="1:9" ht="15.75" thickBot="1" x14ac:dyDescent="0.25">
      <c r="B7" s="87" t="s">
        <v>78</v>
      </c>
      <c r="C7" s="72" t="s">
        <v>79</v>
      </c>
      <c r="D7" s="43"/>
      <c r="E7" s="97" t="s">
        <v>80</v>
      </c>
      <c r="F7" s="76" t="s">
        <v>274</v>
      </c>
      <c r="G7" s="44"/>
      <c r="H7" s="45"/>
      <c r="I7" s="39"/>
    </row>
    <row r="8" spans="1:9" ht="15.75" thickBot="1" x14ac:dyDescent="0.25">
      <c r="B8" s="87"/>
      <c r="C8" s="46"/>
      <c r="D8" s="43"/>
      <c r="E8" s="97"/>
      <c r="F8" s="47"/>
      <c r="G8" s="41"/>
      <c r="H8" s="42"/>
      <c r="I8" s="39"/>
    </row>
    <row r="9" spans="1:9" ht="15.75" thickBot="1" x14ac:dyDescent="0.25">
      <c r="B9" s="87" t="s">
        <v>81</v>
      </c>
      <c r="C9" s="72" t="s">
        <v>82</v>
      </c>
      <c r="D9" s="43"/>
      <c r="E9" s="97" t="s">
        <v>83</v>
      </c>
      <c r="F9" s="388" t="s">
        <v>84</v>
      </c>
      <c r="G9" s="388"/>
      <c r="H9" s="42"/>
      <c r="I9" s="39"/>
    </row>
    <row r="10" spans="1:9" ht="15.75" thickBot="1" x14ac:dyDescent="0.25">
      <c r="B10" s="87"/>
      <c r="C10" s="40"/>
      <c r="D10" s="38"/>
      <c r="E10" s="98"/>
      <c r="F10" s="42"/>
      <c r="G10" s="41"/>
      <c r="H10" s="42"/>
      <c r="I10" s="39"/>
    </row>
    <row r="11" spans="1:9" ht="15.75" thickBot="1" x14ac:dyDescent="0.25">
      <c r="B11" s="87" t="s">
        <v>85</v>
      </c>
      <c r="C11" s="72"/>
      <c r="D11" s="38"/>
      <c r="E11" s="97" t="s">
        <v>86</v>
      </c>
      <c r="F11" s="78" t="s">
        <v>87</v>
      </c>
      <c r="G11" s="97" t="s">
        <v>88</v>
      </c>
      <c r="H11" s="77">
        <v>0.2</v>
      </c>
      <c r="I11" s="39"/>
    </row>
    <row r="12" spans="1:9" x14ac:dyDescent="0.2">
      <c r="B12" s="88"/>
      <c r="C12" s="45"/>
      <c r="D12" s="38"/>
      <c r="E12" s="98"/>
      <c r="F12" s="42"/>
      <c r="G12" s="41"/>
      <c r="H12" s="42"/>
      <c r="I12" s="39"/>
    </row>
    <row r="13" spans="1:9" ht="15.75" thickBot="1" x14ac:dyDescent="0.25">
      <c r="B13" s="88"/>
      <c r="C13" s="49"/>
      <c r="D13" s="38"/>
      <c r="E13" s="98"/>
      <c r="F13" s="42"/>
      <c r="G13" s="41"/>
      <c r="H13" s="42"/>
      <c r="I13" s="39"/>
    </row>
    <row r="14" spans="1:9" ht="15.75" thickBot="1" x14ac:dyDescent="0.25">
      <c r="B14" s="87" t="s">
        <v>89</v>
      </c>
      <c r="C14" s="72"/>
      <c r="D14" s="38"/>
      <c r="E14" s="97"/>
      <c r="F14" s="79"/>
      <c r="G14" s="41"/>
      <c r="H14" s="42"/>
      <c r="I14" s="39"/>
    </row>
    <row r="15" spans="1:9" ht="15.75" thickBot="1" x14ac:dyDescent="0.25">
      <c r="B15" s="87"/>
      <c r="C15" s="50"/>
      <c r="D15" s="38"/>
      <c r="E15" s="98"/>
      <c r="F15" s="42"/>
      <c r="G15" s="41"/>
      <c r="H15" s="42"/>
      <c r="I15" s="39"/>
    </row>
    <row r="16" spans="1:9" ht="15.75" thickBot="1" x14ac:dyDescent="0.25">
      <c r="B16" s="87" t="s">
        <v>90</v>
      </c>
      <c r="C16" s="72" t="s">
        <v>183</v>
      </c>
      <c r="D16" s="38"/>
      <c r="E16" s="98"/>
      <c r="F16" s="79"/>
      <c r="G16" s="41"/>
      <c r="H16" s="42"/>
      <c r="I16" s="39"/>
    </row>
    <row r="17" spans="2:9" ht="15.75" thickBot="1" x14ac:dyDescent="0.25">
      <c r="B17" s="87"/>
      <c r="C17" s="50"/>
      <c r="D17" s="38"/>
      <c r="E17" s="99"/>
      <c r="F17" s="45"/>
      <c r="G17" s="44"/>
      <c r="H17" s="45"/>
      <c r="I17" s="39"/>
    </row>
    <row r="18" spans="2:9" ht="15.75" thickBot="1" x14ac:dyDescent="0.25">
      <c r="B18" s="87" t="s">
        <v>91</v>
      </c>
      <c r="C18" s="72"/>
      <c r="D18" s="38"/>
      <c r="E18" s="99"/>
      <c r="F18" s="79"/>
      <c r="G18" s="44"/>
      <c r="H18" s="45"/>
      <c r="I18" s="39"/>
    </row>
    <row r="19" spans="2:9" ht="15.75" thickBot="1" x14ac:dyDescent="0.25">
      <c r="B19" s="89"/>
      <c r="C19" s="51"/>
      <c r="D19" s="52"/>
      <c r="E19" s="100"/>
      <c r="F19" s="54"/>
      <c r="G19" s="53"/>
      <c r="H19" s="55"/>
      <c r="I19" s="56"/>
    </row>
    <row r="20" spans="2:9" ht="16.5" thickTop="1" thickBot="1" x14ac:dyDescent="0.25">
      <c r="B20" s="90"/>
      <c r="C20" s="57"/>
      <c r="D20" s="58"/>
      <c r="E20" s="96"/>
      <c r="F20" s="97" t="s">
        <v>93</v>
      </c>
      <c r="G20" s="34"/>
      <c r="H20" s="97" t="s">
        <v>94</v>
      </c>
      <c r="I20" s="36"/>
    </row>
    <row r="21" spans="2:9" ht="15.75" thickBot="1" x14ac:dyDescent="0.25">
      <c r="B21" s="87" t="s">
        <v>92</v>
      </c>
      <c r="C21" s="72" t="s">
        <v>277</v>
      </c>
      <c r="D21" s="44"/>
      <c r="E21" s="97" t="s">
        <v>40</v>
      </c>
      <c r="F21" s="80">
        <v>0.16980000000000001</v>
      </c>
      <c r="G21" s="28"/>
      <c r="H21" s="80">
        <v>4.48E-2</v>
      </c>
      <c r="I21" s="39"/>
    </row>
    <row r="22" spans="2:9" ht="15.75" thickBot="1" x14ac:dyDescent="0.25">
      <c r="B22" s="91"/>
      <c r="C22" s="50"/>
      <c r="D22" s="44"/>
      <c r="E22" s="101"/>
      <c r="F22" s="45"/>
      <c r="G22" s="44"/>
      <c r="H22" s="45"/>
      <c r="I22" s="39"/>
    </row>
    <row r="23" spans="2:9" ht="15.75" thickBot="1" x14ac:dyDescent="0.25">
      <c r="B23" s="87" t="s">
        <v>95</v>
      </c>
      <c r="C23" s="73"/>
      <c r="D23" s="44"/>
      <c r="E23" s="97" t="s">
        <v>35</v>
      </c>
      <c r="F23" s="81">
        <v>3.5000000000000003E-2</v>
      </c>
      <c r="G23" s="28"/>
      <c r="H23" s="82">
        <v>2.2599999999999999E-2</v>
      </c>
      <c r="I23" s="39"/>
    </row>
    <row r="24" spans="2:9" ht="15.75" thickBot="1" x14ac:dyDescent="0.25">
      <c r="B24" s="91"/>
      <c r="C24" s="50"/>
      <c r="D24" s="38"/>
      <c r="E24" s="99"/>
      <c r="F24" s="45"/>
      <c r="G24" s="44"/>
      <c r="H24" s="45"/>
      <c r="I24" s="39"/>
    </row>
    <row r="25" spans="2:9" ht="15.75" thickBot="1" x14ac:dyDescent="0.25">
      <c r="B25" s="87" t="s">
        <v>96</v>
      </c>
      <c r="C25" s="74"/>
      <c r="D25" s="38"/>
      <c r="E25" s="97"/>
      <c r="F25" s="80">
        <v>0</v>
      </c>
      <c r="G25" s="28"/>
      <c r="H25" s="80">
        <v>0</v>
      </c>
      <c r="I25" s="39"/>
    </row>
    <row r="26" spans="2:9" ht="15.75" thickBot="1" x14ac:dyDescent="0.25">
      <c r="B26" s="87"/>
      <c r="C26" s="42"/>
      <c r="D26" s="38"/>
      <c r="E26" s="99"/>
      <c r="F26" s="45"/>
      <c r="G26" s="44"/>
      <c r="H26" s="45"/>
      <c r="I26" s="39"/>
    </row>
    <row r="27" spans="2:9" ht="15.75" thickBot="1" x14ac:dyDescent="0.25">
      <c r="B27" s="87" t="s">
        <v>97</v>
      </c>
      <c r="C27" s="74"/>
      <c r="D27" s="38"/>
      <c r="E27" s="97"/>
      <c r="F27" s="80">
        <v>0</v>
      </c>
      <c r="G27" s="28"/>
      <c r="H27" s="80">
        <v>0</v>
      </c>
      <c r="I27" s="39"/>
    </row>
    <row r="28" spans="2:9" x14ac:dyDescent="0.2">
      <c r="B28" s="87"/>
      <c r="C28" s="60"/>
      <c r="D28" s="38"/>
      <c r="E28" s="97"/>
      <c r="F28" s="61"/>
      <c r="G28" s="28"/>
      <c r="H28" s="61"/>
      <c r="I28" s="39"/>
    </row>
    <row r="29" spans="2:9" ht="15.75" thickBot="1" x14ac:dyDescent="0.25">
      <c r="B29" s="92"/>
      <c r="C29" s="62"/>
      <c r="D29" s="52"/>
      <c r="E29" s="102"/>
      <c r="F29" s="62"/>
      <c r="G29" s="63"/>
      <c r="H29" s="62"/>
      <c r="I29" s="56"/>
    </row>
    <row r="30" spans="2:9" ht="16.5" thickTop="1" thickBot="1" x14ac:dyDescent="0.25">
      <c r="B30" s="93"/>
      <c r="C30" s="64"/>
      <c r="D30" s="58"/>
      <c r="E30" s="103"/>
      <c r="F30" s="64"/>
      <c r="G30" s="65"/>
      <c r="H30" s="64"/>
      <c r="I30" s="36"/>
    </row>
    <row r="31" spans="2:9" ht="15.75" thickBot="1" x14ac:dyDescent="0.25">
      <c r="B31" s="87" t="s">
        <v>98</v>
      </c>
      <c r="C31" s="73" t="s">
        <v>276</v>
      </c>
      <c r="D31" s="38"/>
      <c r="E31" s="97" t="s">
        <v>99</v>
      </c>
      <c r="F31" s="83"/>
      <c r="G31" s="28" t="s">
        <v>100</v>
      </c>
      <c r="H31" s="83"/>
      <c r="I31" s="39"/>
    </row>
    <row r="32" spans="2:9" ht="15.75" thickBot="1" x14ac:dyDescent="0.25">
      <c r="B32" s="87"/>
      <c r="C32" s="60"/>
      <c r="D32" s="38"/>
      <c r="E32" s="97"/>
      <c r="F32" s="42"/>
      <c r="G32" s="41"/>
      <c r="H32" s="42"/>
      <c r="I32" s="39"/>
    </row>
    <row r="33" spans="2:9" ht="15.75" thickBot="1" x14ac:dyDescent="0.25">
      <c r="B33" s="87" t="s">
        <v>101</v>
      </c>
      <c r="C33" s="73" t="s">
        <v>279</v>
      </c>
      <c r="D33" s="38"/>
      <c r="E33" s="97" t="s">
        <v>102</v>
      </c>
      <c r="F33" s="75">
        <v>14000</v>
      </c>
      <c r="G33" s="41"/>
      <c r="H33" s="42"/>
      <c r="I33" s="39"/>
    </row>
    <row r="34" spans="2:9" ht="15.75" thickBot="1" x14ac:dyDescent="0.25">
      <c r="B34" s="87"/>
      <c r="C34" s="42"/>
      <c r="D34" s="38"/>
      <c r="E34" s="98"/>
      <c r="F34" s="389"/>
      <c r="G34" s="389"/>
      <c r="H34" s="389"/>
      <c r="I34" s="39"/>
    </row>
    <row r="35" spans="2:9" ht="15.75" thickBot="1" x14ac:dyDescent="0.25">
      <c r="B35" s="87" t="s">
        <v>103</v>
      </c>
      <c r="C35" s="73"/>
      <c r="D35" s="38"/>
      <c r="E35" s="99"/>
      <c r="F35" s="45"/>
      <c r="G35" s="44"/>
      <c r="H35" s="45"/>
      <c r="I35" s="39"/>
    </row>
    <row r="36" spans="2:9" ht="15.75" thickBot="1" x14ac:dyDescent="0.25">
      <c r="B36" s="87"/>
      <c r="C36" s="42"/>
      <c r="D36" s="38"/>
      <c r="E36" s="98"/>
      <c r="F36" s="42"/>
      <c r="G36" s="41"/>
      <c r="H36" s="42"/>
      <c r="I36" s="39"/>
    </row>
    <row r="37" spans="2:9" ht="15.75" thickBot="1" x14ac:dyDescent="0.25">
      <c r="B37" s="87" t="s">
        <v>104</v>
      </c>
      <c r="C37" s="74"/>
      <c r="D37" s="38"/>
      <c r="E37" s="97" t="s">
        <v>105</v>
      </c>
      <c r="F37" s="84"/>
      <c r="G37" s="85"/>
      <c r="H37" s="86"/>
      <c r="I37" s="39"/>
    </row>
    <row r="38" spans="2:9" ht="15.75" thickBot="1" x14ac:dyDescent="0.25">
      <c r="B38" s="92"/>
      <c r="C38" s="62"/>
      <c r="D38" s="52"/>
      <c r="E38" s="102"/>
      <c r="F38" s="62"/>
      <c r="G38" s="63"/>
      <c r="H38" s="62"/>
      <c r="I38" s="56"/>
    </row>
    <row r="39" spans="2:9" ht="16.5" thickTop="1" thickBot="1" x14ac:dyDescent="0.25">
      <c r="B39" s="93"/>
      <c r="C39" s="64"/>
      <c r="D39" s="58"/>
      <c r="E39" s="103"/>
      <c r="F39" s="64"/>
      <c r="G39" s="65"/>
      <c r="H39" s="64"/>
      <c r="I39" s="36"/>
    </row>
    <row r="40" spans="2:9" ht="15.75" thickBot="1" x14ac:dyDescent="0.25">
      <c r="B40" s="87" t="s">
        <v>106</v>
      </c>
      <c r="C40" s="75" t="s">
        <v>107</v>
      </c>
      <c r="D40" s="43"/>
      <c r="E40" s="97" t="s">
        <v>108</v>
      </c>
      <c r="F40" s="390"/>
      <c r="G40" s="390"/>
      <c r="H40" s="49"/>
      <c r="I40" s="59"/>
    </row>
    <row r="41" spans="2:9" ht="15.75" thickBot="1" x14ac:dyDescent="0.25">
      <c r="B41" s="88"/>
      <c r="C41" s="44"/>
      <c r="D41" s="43"/>
      <c r="E41" s="97"/>
      <c r="F41" s="389"/>
      <c r="G41" s="389"/>
      <c r="H41" s="45"/>
      <c r="I41" s="66"/>
    </row>
    <row r="42" spans="2:9" ht="15.75" thickBot="1" x14ac:dyDescent="0.25">
      <c r="B42" s="87" t="s">
        <v>109</v>
      </c>
      <c r="C42" s="75">
        <v>4444</v>
      </c>
      <c r="D42" s="43"/>
      <c r="E42" s="97" t="s">
        <v>38</v>
      </c>
      <c r="F42" s="387" t="s">
        <v>278</v>
      </c>
      <c r="G42" s="387"/>
      <c r="H42" s="387"/>
      <c r="I42" s="66"/>
    </row>
    <row r="43" spans="2:9" ht="15.75" thickBot="1" x14ac:dyDescent="0.25">
      <c r="B43" s="88"/>
      <c r="C43" s="43"/>
      <c r="D43" s="43"/>
      <c r="E43" s="97"/>
      <c r="F43" s="389"/>
      <c r="G43" s="389"/>
      <c r="H43" s="45"/>
      <c r="I43" s="66"/>
    </row>
    <row r="44" spans="2:9" ht="15.75" thickBot="1" x14ac:dyDescent="0.25">
      <c r="B44" s="87" t="s">
        <v>110</v>
      </c>
      <c r="C44" s="75"/>
      <c r="D44" s="43"/>
      <c r="E44" s="97" t="s">
        <v>108</v>
      </c>
      <c r="F44" s="390"/>
      <c r="G44" s="390"/>
      <c r="H44" s="45"/>
      <c r="I44" s="66"/>
    </row>
    <row r="45" spans="2:9" ht="15.75" thickBot="1" x14ac:dyDescent="0.25">
      <c r="B45" s="88"/>
      <c r="C45" s="43"/>
      <c r="D45" s="43"/>
      <c r="E45" s="97"/>
      <c r="F45" s="389"/>
      <c r="G45" s="389"/>
      <c r="H45" s="45"/>
      <c r="I45" s="66"/>
    </row>
    <row r="46" spans="2:9" ht="15.75" thickBot="1" x14ac:dyDescent="0.25">
      <c r="B46" s="87"/>
      <c r="C46" s="43"/>
      <c r="D46" s="43"/>
      <c r="E46" s="97" t="s">
        <v>38</v>
      </c>
      <c r="F46" s="391"/>
      <c r="G46" s="391"/>
      <c r="H46" s="391"/>
      <c r="I46" s="66"/>
    </row>
    <row r="47" spans="2:9" ht="15.75" thickBot="1" x14ac:dyDescent="0.25">
      <c r="B47" s="88"/>
      <c r="C47" s="43"/>
      <c r="D47" s="43"/>
      <c r="E47" s="99"/>
      <c r="F47" s="45"/>
      <c r="G47" s="44"/>
      <c r="H47" s="45"/>
      <c r="I47" s="66"/>
    </row>
    <row r="48" spans="2:9" ht="15.75" thickBot="1" x14ac:dyDescent="0.25">
      <c r="B48" s="87" t="s">
        <v>111</v>
      </c>
      <c r="C48" s="75"/>
      <c r="D48" s="43"/>
      <c r="E48" s="97" t="s">
        <v>108</v>
      </c>
      <c r="F48" s="390"/>
      <c r="G48" s="390"/>
      <c r="H48" s="45"/>
      <c r="I48" s="66"/>
    </row>
    <row r="49" spans="2:9" ht="15.75" thickBot="1" x14ac:dyDescent="0.25">
      <c r="B49" s="48"/>
      <c r="C49" s="43"/>
      <c r="D49" s="43"/>
      <c r="E49" s="97"/>
      <c r="F49" s="389"/>
      <c r="G49" s="389"/>
      <c r="H49" s="45"/>
      <c r="I49" s="66"/>
    </row>
    <row r="50" spans="2:9" ht="15.75" thickBot="1" x14ac:dyDescent="0.25">
      <c r="B50" s="37"/>
      <c r="C50" s="43"/>
      <c r="D50" s="43"/>
      <c r="E50" s="97" t="s">
        <v>38</v>
      </c>
      <c r="F50" s="387"/>
      <c r="G50" s="387"/>
      <c r="H50" s="387"/>
      <c r="I50" s="66"/>
    </row>
    <row r="51" spans="2:9" x14ac:dyDescent="0.2">
      <c r="B51" s="48"/>
      <c r="C51" s="43"/>
      <c r="D51" s="43"/>
      <c r="E51" s="99"/>
      <c r="F51" s="45"/>
      <c r="G51" s="44"/>
      <c r="H51" s="45"/>
      <c r="I51" s="66"/>
    </row>
    <row r="52" spans="2:9" ht="15.75" thickBot="1" x14ac:dyDescent="0.25">
      <c r="B52" s="67"/>
      <c r="C52" s="68"/>
      <c r="D52" s="68"/>
      <c r="E52" s="104"/>
      <c r="F52" s="70"/>
      <c r="G52" s="69"/>
      <c r="H52" s="70"/>
      <c r="I52" s="71"/>
    </row>
    <row r="53" spans="2:9" ht="15.75" thickTop="1" x14ac:dyDescent="0.2"/>
  </sheetData>
  <sheetProtection deleteColumns="0" deleteRows="0"/>
  <mergeCells count="13">
    <mergeCell ref="F50:H50"/>
    <mergeCell ref="F5:H5"/>
    <mergeCell ref="F9:G9"/>
    <mergeCell ref="F34:H34"/>
    <mergeCell ref="F40:G40"/>
    <mergeCell ref="F41:G41"/>
    <mergeCell ref="F42:H42"/>
    <mergeCell ref="F43:G43"/>
    <mergeCell ref="F44:G44"/>
    <mergeCell ref="F45:G45"/>
    <mergeCell ref="F46:H46"/>
    <mergeCell ref="F48:G48"/>
    <mergeCell ref="F49:G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3:I73"/>
  <sheetViews>
    <sheetView topLeftCell="A21" workbookViewId="0"/>
  </sheetViews>
  <sheetFormatPr defaultColWidth="10.76171875" defaultRowHeight="15" x14ac:dyDescent="0.2"/>
  <cols>
    <col min="1" max="1" width="61.609375" customWidth="1"/>
    <col min="2" max="2" width="16.94921875" customWidth="1"/>
    <col min="3" max="3" width="11.97265625" customWidth="1"/>
    <col min="4" max="4" width="35.6484375" customWidth="1"/>
    <col min="5" max="5" width="39.81640625" customWidth="1"/>
    <col min="7" max="7" width="20.3125" customWidth="1"/>
  </cols>
  <sheetData>
    <row r="3" spans="1:5" ht="23.25" thickBot="1" x14ac:dyDescent="0.45">
      <c r="A3" s="1" t="s">
        <v>0</v>
      </c>
      <c r="B3" s="19">
        <v>2016</v>
      </c>
    </row>
    <row r="4" spans="1:5" s="289" customFormat="1" ht="23.25" x14ac:dyDescent="0.3">
      <c r="A4" s="290" t="s">
        <v>1</v>
      </c>
      <c r="B4" s="290" t="s">
        <v>2</v>
      </c>
      <c r="C4" s="290" t="s">
        <v>3</v>
      </c>
      <c r="D4" s="290" t="s">
        <v>4</v>
      </c>
      <c r="E4" s="290" t="s">
        <v>5</v>
      </c>
    </row>
    <row r="5" spans="1:5" ht="18.75" x14ac:dyDescent="0.25">
      <c r="A5" s="291" t="s">
        <v>6</v>
      </c>
      <c r="B5" s="292">
        <v>6.4000000000000001E-2</v>
      </c>
      <c r="C5" s="293">
        <v>0</v>
      </c>
      <c r="D5" s="292">
        <v>6.4000000000000001E-2</v>
      </c>
      <c r="E5" s="293" t="s">
        <v>7</v>
      </c>
    </row>
    <row r="6" spans="1:5" ht="22.5" customHeight="1" x14ac:dyDescent="0.25">
      <c r="A6" s="291" t="s">
        <v>8</v>
      </c>
      <c r="B6" s="292">
        <v>1.0500000000000001E-2</v>
      </c>
      <c r="C6" s="292">
        <v>5.1999999999999998E-3</v>
      </c>
      <c r="D6" s="292">
        <f>+B6+C6</f>
        <v>1.5699999999999999E-2</v>
      </c>
      <c r="E6" s="293" t="s">
        <v>9</v>
      </c>
    </row>
    <row r="7" spans="1:5" ht="18.75" x14ac:dyDescent="0.25">
      <c r="A7" s="291" t="s">
        <v>10</v>
      </c>
      <c r="B7" s="292">
        <v>7.9299999999999995E-2</v>
      </c>
      <c r="C7" s="292">
        <v>3.9600000000000003E-2</v>
      </c>
      <c r="D7" s="292">
        <f>+B7+C7</f>
        <v>0.11890000000000001</v>
      </c>
      <c r="E7" s="293" t="s">
        <v>9</v>
      </c>
    </row>
    <row r="8" spans="1:5" ht="18.75" x14ac:dyDescent="0.2">
      <c r="A8" s="291" t="s">
        <v>11</v>
      </c>
      <c r="B8" s="292">
        <v>1.6E-2</v>
      </c>
      <c r="C8" s="293">
        <v>0</v>
      </c>
      <c r="D8" s="292">
        <v>1.6E-2</v>
      </c>
      <c r="E8" s="293" t="s">
        <v>12</v>
      </c>
    </row>
    <row r="9" spans="1:5" ht="18.75" x14ac:dyDescent="0.2">
      <c r="A9" s="291" t="s">
        <v>13</v>
      </c>
      <c r="B9" s="292">
        <v>4.1099999999999998E-2</v>
      </c>
      <c r="C9" s="292">
        <v>2.2599999999999999E-2</v>
      </c>
      <c r="D9" s="292">
        <v>6.3700000000000007E-2</v>
      </c>
      <c r="E9" s="293" t="s">
        <v>12</v>
      </c>
    </row>
    <row r="10" spans="1:5" ht="18.75" x14ac:dyDescent="0.2">
      <c r="A10" s="7"/>
      <c r="B10" s="8"/>
      <c r="C10" s="9"/>
      <c r="D10" s="8"/>
      <c r="E10" s="10"/>
    </row>
    <row r="11" spans="1:5" ht="22.5" x14ac:dyDescent="0.4">
      <c r="A11" s="294" t="s">
        <v>23</v>
      </c>
      <c r="B11" s="288"/>
      <c r="C11" s="288"/>
      <c r="D11" s="288"/>
      <c r="E11" s="288"/>
    </row>
    <row r="12" spans="1:5" ht="18" x14ac:dyDescent="0.2">
      <c r="A12" s="295" t="s">
        <v>272</v>
      </c>
      <c r="B12" s="288"/>
      <c r="C12" s="288"/>
      <c r="D12" s="288"/>
      <c r="E12" s="288"/>
    </row>
    <row r="13" spans="1:5" ht="15.75" thickBot="1" x14ac:dyDescent="0.25"/>
    <row r="14" spans="1:5" ht="24" thickBot="1" x14ac:dyDescent="0.45">
      <c r="A14" s="296" t="s">
        <v>20</v>
      </c>
      <c r="B14" s="18"/>
      <c r="C14" s="299" t="s">
        <v>14</v>
      </c>
      <c r="D14" s="300"/>
      <c r="E14" s="301"/>
    </row>
    <row r="15" spans="1:5" ht="24" thickBot="1" x14ac:dyDescent="0.25">
      <c r="A15" s="297" t="s">
        <v>21</v>
      </c>
      <c r="C15" s="302" t="s">
        <v>15</v>
      </c>
      <c r="D15" s="300"/>
      <c r="E15" s="303"/>
    </row>
    <row r="16" spans="1:5" ht="24" customHeight="1" thickBot="1" x14ac:dyDescent="0.25">
      <c r="A16" s="297" t="s">
        <v>22</v>
      </c>
      <c r="C16" s="302" t="s">
        <v>16</v>
      </c>
      <c r="D16" s="300"/>
      <c r="E16" s="303"/>
    </row>
    <row r="17" spans="1:9" ht="23.25" x14ac:dyDescent="0.2">
      <c r="C17" s="302" t="s">
        <v>17</v>
      </c>
      <c r="D17" s="300"/>
      <c r="E17" s="303"/>
    </row>
    <row r="18" spans="1:9" ht="24.75" customHeight="1" x14ac:dyDescent="0.2">
      <c r="A18" s="11" t="s">
        <v>24</v>
      </c>
      <c r="C18" s="302" t="s">
        <v>18</v>
      </c>
      <c r="D18" s="300"/>
      <c r="E18" s="303"/>
    </row>
    <row r="19" spans="1:9" ht="23.25" x14ac:dyDescent="0.2">
      <c r="A19" s="11" t="s">
        <v>25</v>
      </c>
      <c r="C19" s="302" t="s">
        <v>19</v>
      </c>
      <c r="D19" s="300"/>
      <c r="E19" s="303"/>
    </row>
    <row r="20" spans="1:9" ht="24" thickBot="1" x14ac:dyDescent="0.25">
      <c r="A20" s="11" t="s">
        <v>26</v>
      </c>
      <c r="B20" s="2"/>
      <c r="C20" s="298"/>
      <c r="D20" s="6"/>
    </row>
    <row r="21" spans="1:9" ht="18" x14ac:dyDescent="0.2">
      <c r="A21" s="11" t="s">
        <v>27</v>
      </c>
      <c r="B21" s="2"/>
      <c r="C21" s="304" t="s">
        <v>273</v>
      </c>
      <c r="D21" s="305"/>
      <c r="E21" s="305"/>
      <c r="F21" s="305"/>
      <c r="G21" s="305"/>
      <c r="H21" s="305"/>
      <c r="I21" s="305"/>
    </row>
    <row r="22" spans="1:9" ht="18.75" thickBot="1" x14ac:dyDescent="0.25">
      <c r="A22" s="11" t="s">
        <v>28</v>
      </c>
      <c r="B22" s="2"/>
      <c r="C22" s="306" t="s">
        <v>271</v>
      </c>
      <c r="D22" s="305"/>
      <c r="E22" s="305"/>
      <c r="F22" s="305"/>
      <c r="G22" s="305"/>
      <c r="H22" s="305"/>
      <c r="I22" s="305"/>
    </row>
    <row r="23" spans="1:9" ht="18.75" thickBot="1" x14ac:dyDescent="0.25">
      <c r="A23" s="11" t="s">
        <v>29</v>
      </c>
      <c r="B23" s="2"/>
      <c r="C23" s="4"/>
    </row>
    <row r="24" spans="1:9" ht="19.5" thickBot="1" x14ac:dyDescent="0.3">
      <c r="A24" s="11" t="s">
        <v>30</v>
      </c>
      <c r="B24" s="2"/>
      <c r="C24" s="16" t="s">
        <v>37</v>
      </c>
    </row>
    <row r="25" spans="1:9" ht="19.5" thickBot="1" x14ac:dyDescent="0.3">
      <c r="C25" s="13" t="s">
        <v>31</v>
      </c>
      <c r="D25" s="13">
        <v>1200</v>
      </c>
    </row>
    <row r="26" spans="1:9" ht="19.5" thickBot="1" x14ac:dyDescent="0.3">
      <c r="C26" s="13" t="s">
        <v>32</v>
      </c>
      <c r="D26" s="13">
        <v>600</v>
      </c>
    </row>
    <row r="27" spans="1:9" ht="19.5" thickBot="1" x14ac:dyDescent="0.3">
      <c r="C27" s="13" t="s">
        <v>33</v>
      </c>
      <c r="D27" s="14">
        <f>SUM(D25:D26)</f>
        <v>1800</v>
      </c>
    </row>
    <row r="28" spans="1:9" ht="19.5" thickBot="1" x14ac:dyDescent="0.3">
      <c r="B28" s="5"/>
      <c r="C28" s="15" t="s">
        <v>34</v>
      </c>
      <c r="D28" s="12"/>
    </row>
    <row r="29" spans="1:9" x14ac:dyDescent="0.2">
      <c r="B29" s="5"/>
    </row>
    <row r="30" spans="1:9" x14ac:dyDescent="0.2">
      <c r="B30" s="5"/>
    </row>
    <row r="31" spans="1:9" x14ac:dyDescent="0.2">
      <c r="B31" s="5"/>
    </row>
    <row r="32" spans="1:9" x14ac:dyDescent="0.2">
      <c r="B32" s="5"/>
    </row>
    <row r="33" spans="2:2" ht="24.75" customHeight="1" x14ac:dyDescent="0.2">
      <c r="B33" s="5"/>
    </row>
    <row r="46" spans="2:2" ht="21.75" customHeight="1" x14ac:dyDescent="0.2"/>
    <row r="67" spans="4:6" ht="17.25" x14ac:dyDescent="0.2">
      <c r="E67" s="20"/>
      <c r="F67" s="20"/>
    </row>
    <row r="68" spans="4:6" ht="17.25" x14ac:dyDescent="0.2">
      <c r="E68" s="20"/>
      <c r="F68" s="21"/>
    </row>
    <row r="69" spans="4:6" ht="18.75" x14ac:dyDescent="0.25">
      <c r="D69" s="12"/>
      <c r="E69" s="20"/>
      <c r="F69" s="22"/>
    </row>
    <row r="70" spans="4:6" ht="17.25" x14ac:dyDescent="0.2">
      <c r="E70" s="20"/>
      <c r="F70" s="22"/>
    </row>
    <row r="71" spans="4:6" ht="17.25" x14ac:dyDescent="0.2">
      <c r="E71" s="20"/>
      <c r="F71" s="22"/>
    </row>
    <row r="72" spans="4:6" ht="17.25" x14ac:dyDescent="0.2">
      <c r="E72" s="20"/>
      <c r="F72" s="22"/>
    </row>
    <row r="73" spans="4:6" ht="17.25" x14ac:dyDescent="0.2">
      <c r="E73" s="20"/>
      <c r="F73" s="22"/>
    </row>
  </sheetData>
  <sheetProtection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L27"/>
  <sheetViews>
    <sheetView zoomScaleNormal="100" workbookViewId="0">
      <selection activeCell="L16" sqref="L16"/>
    </sheetView>
  </sheetViews>
  <sheetFormatPr defaultColWidth="11.43359375" defaultRowHeight="15" x14ac:dyDescent="0.2"/>
  <cols>
    <col min="1" max="1" width="11.43359375" style="17"/>
    <col min="2" max="2" width="7.93359375" style="17" customWidth="1"/>
    <col min="3" max="3" width="39.01171875" style="17" customWidth="1"/>
    <col min="4" max="4" width="16.94921875" style="17" customWidth="1"/>
    <col min="5" max="5" width="11.43359375" style="17"/>
    <col min="6" max="6" width="18.83203125" style="17" customWidth="1"/>
    <col min="7" max="7" width="14.125" style="17" customWidth="1"/>
    <col min="8" max="8" width="22.05859375" style="17" customWidth="1"/>
    <col min="9" max="9" width="6.05078125" style="17" customWidth="1"/>
    <col min="10" max="10" width="8.0703125" style="17" customWidth="1"/>
    <col min="11" max="11" width="14.9296875" style="17" customWidth="1"/>
    <col min="12" max="56" width="11.43359375" style="17"/>
    <col min="57" max="57" width="14.52734375" style="17" customWidth="1"/>
    <col min="58" max="16384" width="11.43359375" style="17"/>
  </cols>
  <sheetData>
    <row r="1" spans="1:12" x14ac:dyDescent="0.2">
      <c r="A1" s="307"/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2" spans="1:12" x14ac:dyDescent="0.2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</row>
    <row r="3" spans="1:12" ht="15.75" thickBot="1" x14ac:dyDescent="0.25">
      <c r="A3" s="307"/>
      <c r="B3" s="307"/>
      <c r="C3" s="309" t="s">
        <v>56</v>
      </c>
      <c r="D3" s="310"/>
      <c r="E3" s="307"/>
      <c r="F3" s="307"/>
      <c r="G3" s="307"/>
      <c r="H3" s="307"/>
      <c r="I3" s="307"/>
      <c r="J3" s="307"/>
      <c r="K3" s="307"/>
    </row>
    <row r="4" spans="1:12" ht="15.75" thickBot="1" x14ac:dyDescent="0.25">
      <c r="A4" s="307"/>
      <c r="B4" s="311"/>
      <c r="C4" s="312"/>
      <c r="D4" s="312"/>
      <c r="E4" s="313"/>
      <c r="F4" s="313"/>
      <c r="G4" s="313"/>
      <c r="H4" s="313"/>
      <c r="I4" s="314"/>
      <c r="J4" s="307"/>
      <c r="K4" s="307"/>
    </row>
    <row r="5" spans="1:12" ht="15.75" thickBot="1" x14ac:dyDescent="0.25">
      <c r="A5" s="307"/>
      <c r="B5" s="311"/>
      <c r="C5" s="392" t="s">
        <v>39</v>
      </c>
      <c r="D5" s="393"/>
      <c r="E5" s="312"/>
      <c r="F5" s="394" t="s">
        <v>52</v>
      </c>
      <c r="G5" s="394"/>
      <c r="H5" s="312"/>
      <c r="I5" s="315"/>
      <c r="J5" s="307"/>
      <c r="K5" s="308" t="s">
        <v>76</v>
      </c>
    </row>
    <row r="6" spans="1:12" ht="15.75" thickBot="1" x14ac:dyDescent="0.25">
      <c r="A6" s="307"/>
      <c r="B6" s="311"/>
      <c r="C6" s="316" t="s">
        <v>46</v>
      </c>
      <c r="D6" s="317">
        <v>2500</v>
      </c>
      <c r="E6" s="312"/>
      <c r="F6" s="316" t="s">
        <v>42</v>
      </c>
      <c r="G6" s="316" t="s">
        <v>43</v>
      </c>
      <c r="H6" s="312"/>
      <c r="I6" s="315"/>
      <c r="J6" s="307"/>
      <c r="K6" s="328" t="s">
        <v>208</v>
      </c>
    </row>
    <row r="7" spans="1:12" ht="15.75" thickBot="1" x14ac:dyDescent="0.25">
      <c r="A7" s="307"/>
      <c r="B7" s="311"/>
      <c r="C7" s="316" t="s">
        <v>40</v>
      </c>
      <c r="D7" s="317">
        <v>6000</v>
      </c>
      <c r="E7" s="312"/>
      <c r="F7" s="318">
        <v>2</v>
      </c>
      <c r="G7" s="319">
        <v>0.05</v>
      </c>
      <c r="H7" s="312"/>
      <c r="I7" s="315"/>
      <c r="J7" s="307"/>
      <c r="K7" s="328" t="s">
        <v>209</v>
      </c>
    </row>
    <row r="8" spans="1:12" ht="15.75" thickBot="1" x14ac:dyDescent="0.25">
      <c r="A8" s="307"/>
      <c r="B8" s="311"/>
      <c r="C8" s="316" t="s">
        <v>41</v>
      </c>
      <c r="D8" s="319">
        <v>0.06</v>
      </c>
      <c r="E8" s="312"/>
      <c r="F8" s="318">
        <v>5</v>
      </c>
      <c r="G8" s="319">
        <v>0.1</v>
      </c>
      <c r="H8" s="312"/>
      <c r="I8" s="315"/>
      <c r="J8" s="307"/>
      <c r="K8" s="328" t="s">
        <v>210</v>
      </c>
    </row>
    <row r="9" spans="1:12" ht="15.75" thickBot="1" x14ac:dyDescent="0.25">
      <c r="A9" s="307"/>
      <c r="B9" s="311"/>
      <c r="C9" s="316" t="s">
        <v>54</v>
      </c>
      <c r="D9" s="320">
        <v>0.2</v>
      </c>
      <c r="E9" s="312"/>
      <c r="F9" s="318">
        <v>12</v>
      </c>
      <c r="G9" s="319">
        <v>0.15</v>
      </c>
      <c r="H9" s="312"/>
      <c r="I9" s="315"/>
      <c r="J9" s="307"/>
      <c r="K9" s="328" t="s">
        <v>211</v>
      </c>
    </row>
    <row r="10" spans="1:12" ht="15.75" thickBot="1" x14ac:dyDescent="0.25">
      <c r="A10" s="307"/>
      <c r="B10" s="311"/>
      <c r="C10" s="316" t="s">
        <v>51</v>
      </c>
      <c r="D10" s="321">
        <v>30</v>
      </c>
      <c r="E10" s="312"/>
      <c r="F10" s="318">
        <v>20</v>
      </c>
      <c r="G10" s="319">
        <v>0.2</v>
      </c>
      <c r="H10" s="312"/>
      <c r="I10" s="315"/>
      <c r="J10" s="307"/>
      <c r="K10" s="328" t="s">
        <v>212</v>
      </c>
    </row>
    <row r="11" spans="1:12" ht="15.75" thickBot="1" x14ac:dyDescent="0.25">
      <c r="A11" s="307"/>
      <c r="B11" s="311"/>
      <c r="C11" s="307"/>
      <c r="D11" s="307"/>
      <c r="E11" s="312"/>
      <c r="F11" s="318">
        <v>25</v>
      </c>
      <c r="G11" s="319">
        <v>0.25</v>
      </c>
      <c r="H11" s="312"/>
      <c r="I11" s="315"/>
      <c r="J11" s="307"/>
      <c r="K11" s="328" t="s">
        <v>213</v>
      </c>
    </row>
    <row r="12" spans="1:12" ht="15.75" thickBot="1" x14ac:dyDescent="0.25">
      <c r="A12" s="307"/>
      <c r="B12" s="311"/>
      <c r="C12" s="322"/>
      <c r="D12" s="322"/>
      <c r="E12" s="312"/>
      <c r="F12" s="312"/>
      <c r="G12" s="312"/>
      <c r="H12" s="312"/>
      <c r="I12" s="315"/>
      <c r="J12" s="307"/>
      <c r="K12" s="328" t="s">
        <v>214</v>
      </c>
    </row>
    <row r="13" spans="1:12" ht="15.75" thickBot="1" x14ac:dyDescent="0.25">
      <c r="A13" s="307"/>
      <c r="B13" s="311"/>
      <c r="C13" s="322"/>
      <c r="D13" s="322"/>
      <c r="E13" s="312"/>
      <c r="F13" s="312"/>
      <c r="G13" s="312"/>
      <c r="H13" s="312"/>
      <c r="I13" s="315"/>
      <c r="J13" s="307"/>
      <c r="K13" s="328" t="s">
        <v>215</v>
      </c>
    </row>
    <row r="14" spans="1:12" ht="15.75" thickBot="1" x14ac:dyDescent="0.25">
      <c r="A14" s="307"/>
      <c r="B14" s="311"/>
      <c r="C14" s="322"/>
      <c r="D14" s="322"/>
      <c r="E14" s="312"/>
      <c r="F14" s="312"/>
      <c r="G14" s="312"/>
      <c r="H14" s="312"/>
      <c r="I14" s="315"/>
      <c r="J14" s="307"/>
      <c r="K14" s="328" t="s">
        <v>216</v>
      </c>
    </row>
    <row r="15" spans="1:12" ht="15.75" thickBot="1" x14ac:dyDescent="0.25">
      <c r="A15" s="307"/>
      <c r="B15" s="311"/>
      <c r="C15" s="392" t="s">
        <v>44</v>
      </c>
      <c r="D15" s="393"/>
      <c r="E15" s="312"/>
      <c r="F15" s="323" t="s">
        <v>55</v>
      </c>
      <c r="G15" s="324"/>
      <c r="H15" s="324"/>
      <c r="I15" s="315"/>
      <c r="J15" s="307"/>
      <c r="K15" s="328" t="s">
        <v>217</v>
      </c>
      <c r="L15" s="307"/>
    </row>
    <row r="16" spans="1:12" ht="15.75" thickBot="1" x14ac:dyDescent="0.25">
      <c r="A16" s="307"/>
      <c r="B16" s="311"/>
      <c r="C16" s="316" t="s">
        <v>50</v>
      </c>
      <c r="D16" s="325">
        <v>4.48E-2</v>
      </c>
      <c r="E16" s="312"/>
      <c r="F16" s="316" t="s">
        <v>42</v>
      </c>
      <c r="G16" s="316" t="s">
        <v>43</v>
      </c>
      <c r="H16" s="316" t="s">
        <v>53</v>
      </c>
      <c r="I16" s="315"/>
      <c r="J16" s="307"/>
      <c r="K16" s="328" t="s">
        <v>218</v>
      </c>
      <c r="L16" s="307"/>
    </row>
    <row r="17" spans="1:12" ht="15.75" thickBot="1" x14ac:dyDescent="0.25">
      <c r="A17" s="307"/>
      <c r="B17" s="311"/>
      <c r="C17" s="316" t="s">
        <v>47</v>
      </c>
      <c r="D17" s="325">
        <v>6.4000000000000001E-2</v>
      </c>
      <c r="E17" s="312"/>
      <c r="F17" s="326">
        <v>2500</v>
      </c>
      <c r="G17" s="318">
        <v>0</v>
      </c>
      <c r="H17" s="318">
        <v>0</v>
      </c>
      <c r="I17" s="315"/>
      <c r="J17" s="307"/>
      <c r="K17" s="328" t="s">
        <v>219</v>
      </c>
      <c r="L17" s="307"/>
    </row>
    <row r="18" spans="1:12" x14ac:dyDescent="0.2">
      <c r="A18" s="307"/>
      <c r="B18" s="311"/>
      <c r="C18" s="316" t="s">
        <v>48</v>
      </c>
      <c r="D18" s="325">
        <v>8.9800000000000005E-2</v>
      </c>
      <c r="E18" s="312"/>
      <c r="F18" s="326">
        <v>4166.67</v>
      </c>
      <c r="G18" s="327">
        <v>0.1</v>
      </c>
      <c r="H18" s="318">
        <v>250</v>
      </c>
      <c r="I18" s="315"/>
      <c r="J18" s="307"/>
      <c r="L18" s="307"/>
    </row>
    <row r="19" spans="1:12" x14ac:dyDescent="0.2">
      <c r="A19" s="307"/>
      <c r="B19" s="311"/>
      <c r="C19" s="316" t="s">
        <v>49</v>
      </c>
      <c r="D19" s="329">
        <v>1.6E-2</v>
      </c>
      <c r="E19" s="312"/>
      <c r="F19" s="326">
        <v>5000</v>
      </c>
      <c r="G19" s="327">
        <v>0.2</v>
      </c>
      <c r="H19" s="318">
        <v>666.67</v>
      </c>
      <c r="I19" s="315"/>
      <c r="J19" s="307"/>
      <c r="L19" s="307"/>
    </row>
    <row r="20" spans="1:12" x14ac:dyDescent="0.2">
      <c r="A20" s="307"/>
      <c r="B20" s="311"/>
      <c r="C20" s="330"/>
      <c r="D20" s="330"/>
      <c r="E20" s="312"/>
      <c r="F20" s="326">
        <v>6666.67</v>
      </c>
      <c r="G20" s="327">
        <v>0.3</v>
      </c>
      <c r="H20" s="318">
        <v>1166.67</v>
      </c>
      <c r="I20" s="315"/>
      <c r="J20" s="307"/>
      <c r="L20" s="307"/>
    </row>
    <row r="21" spans="1:12" x14ac:dyDescent="0.2">
      <c r="A21" s="307"/>
      <c r="B21" s="311"/>
      <c r="C21" s="330"/>
      <c r="D21" s="330"/>
      <c r="E21" s="312"/>
      <c r="F21" s="326">
        <v>15000</v>
      </c>
      <c r="G21" s="327">
        <v>0.34</v>
      </c>
      <c r="H21" s="318">
        <v>1433.33</v>
      </c>
      <c r="I21" s="315"/>
      <c r="J21" s="307"/>
      <c r="L21" s="307"/>
    </row>
    <row r="22" spans="1:12" x14ac:dyDescent="0.2">
      <c r="A22" s="307"/>
      <c r="B22" s="311"/>
      <c r="C22" s="395" t="s">
        <v>45</v>
      </c>
      <c r="D22" s="396"/>
      <c r="E22" s="312"/>
      <c r="F22" s="331">
        <v>83333</v>
      </c>
      <c r="G22" s="327">
        <v>0.38</v>
      </c>
      <c r="H22" s="318">
        <v>2033.33</v>
      </c>
      <c r="I22" s="315"/>
      <c r="J22" s="307"/>
      <c r="L22" s="307"/>
    </row>
    <row r="23" spans="1:12" x14ac:dyDescent="0.2">
      <c r="A23" s="307"/>
      <c r="B23" s="311"/>
      <c r="C23" s="316" t="s">
        <v>73</v>
      </c>
      <c r="D23" s="329">
        <v>2.2599999999999999E-2</v>
      </c>
      <c r="E23" s="312"/>
      <c r="F23" s="312"/>
      <c r="G23" s="312"/>
      <c r="H23" s="312"/>
      <c r="I23" s="315"/>
      <c r="J23" s="307"/>
      <c r="L23" s="307"/>
    </row>
    <row r="24" spans="1:12" ht="15.75" thickBot="1" x14ac:dyDescent="0.25">
      <c r="A24" s="307"/>
      <c r="B24" s="311"/>
      <c r="C24" s="316" t="s">
        <v>74</v>
      </c>
      <c r="D24" s="325">
        <v>2.2599999999999999E-2</v>
      </c>
      <c r="E24" s="312"/>
      <c r="F24" s="312"/>
      <c r="G24" s="312"/>
      <c r="H24" s="312"/>
      <c r="I24" s="315"/>
      <c r="J24" s="307"/>
      <c r="L24" s="307"/>
    </row>
    <row r="25" spans="1:12" ht="15.75" thickBot="1" x14ac:dyDescent="0.25">
      <c r="A25" s="307"/>
      <c r="B25" s="311"/>
      <c r="C25" s="316" t="s">
        <v>75</v>
      </c>
      <c r="D25" s="325">
        <v>1.8499999999999999E-2</v>
      </c>
      <c r="E25" s="312"/>
      <c r="F25" s="332" t="s">
        <v>251</v>
      </c>
      <c r="G25" s="333"/>
      <c r="H25" s="333"/>
      <c r="I25" s="334"/>
      <c r="J25" s="307"/>
      <c r="L25" s="307"/>
    </row>
    <row r="26" spans="1:12" ht="15.75" thickBot="1" x14ac:dyDescent="0.25">
      <c r="A26" s="307"/>
      <c r="B26" s="335"/>
      <c r="C26" s="336"/>
      <c r="D26" s="336"/>
      <c r="E26" s="336"/>
      <c r="F26" s="336"/>
      <c r="G26" s="336"/>
      <c r="H26" s="336"/>
      <c r="I26" s="337"/>
      <c r="J26" s="307"/>
      <c r="L26" s="307"/>
    </row>
    <row r="27" spans="1:12" x14ac:dyDescent="0.2">
      <c r="A27" s="307"/>
      <c r="B27" s="307"/>
      <c r="C27" s="307"/>
      <c r="D27" s="307"/>
      <c r="E27" s="307"/>
      <c r="F27" s="307"/>
      <c r="G27" s="307"/>
      <c r="H27" s="307"/>
      <c r="I27" s="307"/>
      <c r="J27" s="307"/>
      <c r="L27" s="307"/>
    </row>
  </sheetData>
  <sheetProtection deleteColumns="0" deleteRows="0"/>
  <mergeCells count="4">
    <mergeCell ref="C5:D5"/>
    <mergeCell ref="F5:G5"/>
    <mergeCell ref="C15:D15"/>
    <mergeCell ref="C22:D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W40"/>
  <sheetViews>
    <sheetView topLeftCell="G1" workbookViewId="0">
      <selection activeCell="G9" sqref="G9"/>
    </sheetView>
  </sheetViews>
  <sheetFormatPr defaultColWidth="11.43359375" defaultRowHeight="15" x14ac:dyDescent="0.2"/>
  <cols>
    <col min="1" max="1" width="11.43359375" style="24"/>
    <col min="2" max="2" width="22.59765625" style="24" customWidth="1"/>
    <col min="3" max="3" width="17.08203125" style="24" customWidth="1"/>
    <col min="4" max="4" width="9.55078125" style="25" customWidth="1"/>
    <col min="5" max="6" width="11.43359375" style="25"/>
    <col min="7" max="7" width="12.375" style="25" customWidth="1"/>
    <col min="8" max="8" width="10.89453125" style="24" customWidth="1"/>
    <col min="9" max="9" width="9.68359375" style="24" customWidth="1"/>
    <col min="10" max="10" width="11.1640625" style="24" customWidth="1"/>
    <col min="11" max="11" width="10.4921875" style="24" customWidth="1"/>
    <col min="12" max="12" width="13.31640625" style="24" customWidth="1"/>
    <col min="13" max="13" width="14.390625" style="24" customWidth="1"/>
    <col min="14" max="15" width="10.0859375" style="24" customWidth="1"/>
    <col min="16" max="16" width="11.43359375" style="24"/>
    <col min="17" max="17" width="9.01171875" style="24" customWidth="1"/>
    <col min="18" max="19" width="7.93359375" customWidth="1"/>
    <col min="20" max="20" width="11.56640625"/>
    <col min="21" max="22" width="11.43359375" style="24"/>
    <col min="23" max="23" width="12.375" style="24" customWidth="1"/>
    <col min="24" max="16384" width="11.43359375" style="24"/>
  </cols>
  <sheetData>
    <row r="1" spans="1:23" s="342" customFormat="1" ht="21" x14ac:dyDescent="0.3">
      <c r="A1" s="338" t="s">
        <v>146</v>
      </c>
      <c r="B1" s="339"/>
      <c r="C1" s="339"/>
      <c r="D1" s="340"/>
      <c r="E1" s="340"/>
      <c r="F1" s="340"/>
      <c r="G1" s="340"/>
      <c r="H1" s="339"/>
      <c r="I1" s="339"/>
      <c r="J1" s="339"/>
      <c r="K1" s="339"/>
      <c r="L1" s="338"/>
      <c r="M1" s="341"/>
      <c r="N1" s="339"/>
      <c r="O1" s="339"/>
      <c r="R1" s="339"/>
      <c r="S1" s="339"/>
      <c r="T1" s="339"/>
    </row>
    <row r="2" spans="1:23" s="342" customFormat="1" ht="21" x14ac:dyDescent="0.3">
      <c r="A2" s="338" t="s">
        <v>192</v>
      </c>
      <c r="B2" s="338"/>
      <c r="C2" s="338"/>
      <c r="D2" s="343"/>
      <c r="E2" s="343"/>
      <c r="F2" s="343"/>
      <c r="G2" s="343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</row>
    <row r="3" spans="1:23" ht="21" x14ac:dyDescent="0.3">
      <c r="A3" s="208"/>
      <c r="B3" s="208"/>
      <c r="C3" s="208"/>
      <c r="D3" s="209"/>
      <c r="E3" s="209"/>
      <c r="F3" s="209"/>
      <c r="G3" s="209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3"/>
    </row>
    <row r="4" spans="1:23" ht="26.25" customHeight="1" thickBot="1" x14ac:dyDescent="0.25"/>
    <row r="5" spans="1:23" s="373" customFormat="1" ht="36.75" thickBot="1" x14ac:dyDescent="0.25">
      <c r="A5" s="371" t="s">
        <v>147</v>
      </c>
      <c r="B5" s="371" t="s">
        <v>186</v>
      </c>
      <c r="C5" s="372" t="s">
        <v>59</v>
      </c>
      <c r="D5" s="372" t="s">
        <v>119</v>
      </c>
      <c r="E5" s="372" t="s">
        <v>113</v>
      </c>
      <c r="F5" s="372" t="s">
        <v>114</v>
      </c>
      <c r="G5" s="372" t="s">
        <v>237</v>
      </c>
      <c r="H5" s="372" t="s">
        <v>122</v>
      </c>
      <c r="I5" s="372" t="s">
        <v>115</v>
      </c>
      <c r="J5" s="372" t="s">
        <v>193</v>
      </c>
      <c r="K5" s="372" t="s">
        <v>163</v>
      </c>
      <c r="L5" s="372" t="s">
        <v>190</v>
      </c>
      <c r="M5" s="372" t="s">
        <v>191</v>
      </c>
      <c r="N5" s="372" t="s">
        <v>123</v>
      </c>
      <c r="O5" s="371" t="s">
        <v>224</v>
      </c>
      <c r="P5" s="372" t="s">
        <v>222</v>
      </c>
      <c r="Q5" s="397" t="s">
        <v>194</v>
      </c>
      <c r="R5" s="398"/>
      <c r="S5" s="399"/>
      <c r="T5" s="372" t="s">
        <v>223</v>
      </c>
      <c r="U5" s="372" t="s">
        <v>197</v>
      </c>
      <c r="V5" s="371" t="s">
        <v>245</v>
      </c>
      <c r="W5" s="371" t="s">
        <v>249</v>
      </c>
    </row>
    <row r="6" spans="1:23" s="373" customFormat="1" x14ac:dyDescent="0.2">
      <c r="A6" s="374"/>
      <c r="B6" s="374"/>
      <c r="C6" s="374"/>
      <c r="D6" s="374"/>
      <c r="E6" s="374"/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  <c r="Q6" s="375">
        <v>0.25</v>
      </c>
      <c r="R6" s="375">
        <v>0.5</v>
      </c>
      <c r="S6" s="375">
        <v>1</v>
      </c>
      <c r="T6" s="374"/>
      <c r="U6" s="374"/>
      <c r="V6" s="374"/>
      <c r="W6" s="372"/>
    </row>
    <row r="7" spans="1:23" x14ac:dyDescent="0.2">
      <c r="A7" s="351" t="s">
        <v>148</v>
      </c>
      <c r="B7" s="352" t="s">
        <v>280</v>
      </c>
      <c r="C7" s="353" t="s">
        <v>71</v>
      </c>
      <c r="D7" s="354" t="s">
        <v>120</v>
      </c>
      <c r="E7" s="355">
        <v>40634</v>
      </c>
      <c r="F7" s="355">
        <v>31875</v>
      </c>
      <c r="G7" s="355">
        <v>42547</v>
      </c>
      <c r="H7" s="355" t="s">
        <v>213</v>
      </c>
      <c r="I7" s="355" t="s">
        <v>116</v>
      </c>
      <c r="J7" s="356">
        <v>0</v>
      </c>
      <c r="K7" s="356">
        <v>225147</v>
      </c>
      <c r="L7" s="357">
        <v>202</v>
      </c>
      <c r="M7" s="357">
        <v>0</v>
      </c>
      <c r="N7" s="356">
        <v>191</v>
      </c>
      <c r="O7" s="358">
        <v>20.94</v>
      </c>
      <c r="P7" s="359">
        <v>8</v>
      </c>
      <c r="Q7" s="360">
        <f>+L7-N7</f>
        <v>11</v>
      </c>
      <c r="R7" s="361">
        <v>0</v>
      </c>
      <c r="S7" s="361">
        <v>0</v>
      </c>
      <c r="T7" s="361">
        <v>0</v>
      </c>
      <c r="U7" s="362">
        <v>1000</v>
      </c>
      <c r="V7" s="358">
        <v>0</v>
      </c>
      <c r="W7" s="363">
        <v>600</v>
      </c>
    </row>
    <row r="8" spans="1:23" x14ac:dyDescent="0.2">
      <c r="A8" s="351" t="s">
        <v>149</v>
      </c>
      <c r="B8" s="352" t="s">
        <v>281</v>
      </c>
      <c r="C8" s="353" t="s">
        <v>118</v>
      </c>
      <c r="D8" s="354" t="s">
        <v>121</v>
      </c>
      <c r="E8" s="355">
        <v>39965</v>
      </c>
      <c r="F8" s="355">
        <v>26196</v>
      </c>
      <c r="G8" s="355">
        <v>42547</v>
      </c>
      <c r="H8" s="355" t="s">
        <v>213</v>
      </c>
      <c r="I8" s="355" t="s">
        <v>117</v>
      </c>
      <c r="J8" s="356">
        <v>3</v>
      </c>
      <c r="K8" s="356">
        <v>326518</v>
      </c>
      <c r="L8" s="357">
        <v>201</v>
      </c>
      <c r="M8" s="357">
        <v>0</v>
      </c>
      <c r="N8" s="356">
        <v>191</v>
      </c>
      <c r="O8" s="358">
        <v>23.56</v>
      </c>
      <c r="P8" s="359">
        <v>0</v>
      </c>
      <c r="Q8" s="359">
        <f>+L8-N8</f>
        <v>10</v>
      </c>
      <c r="R8" s="361">
        <f t="shared" ref="R8:R11" si="0">+M8</f>
        <v>0</v>
      </c>
      <c r="S8" s="359">
        <v>0</v>
      </c>
      <c r="T8" s="361">
        <v>44</v>
      </c>
      <c r="U8" s="362">
        <v>1500</v>
      </c>
      <c r="V8" s="358">
        <v>0</v>
      </c>
      <c r="W8" s="363">
        <v>600</v>
      </c>
    </row>
    <row r="9" spans="1:23" x14ac:dyDescent="0.2">
      <c r="A9" s="351" t="s">
        <v>150</v>
      </c>
      <c r="B9" s="352" t="s">
        <v>282</v>
      </c>
      <c r="C9" s="353" t="s">
        <v>157</v>
      </c>
      <c r="D9" s="354" t="s">
        <v>121</v>
      </c>
      <c r="E9" s="355">
        <v>41030</v>
      </c>
      <c r="F9" s="355">
        <v>29314</v>
      </c>
      <c r="G9" s="355">
        <v>42547</v>
      </c>
      <c r="H9" s="355" t="s">
        <v>213</v>
      </c>
      <c r="I9" s="355" t="s">
        <v>117</v>
      </c>
      <c r="J9" s="356">
        <v>2</v>
      </c>
      <c r="K9" s="356">
        <v>261542</v>
      </c>
      <c r="L9" s="357">
        <v>191</v>
      </c>
      <c r="M9" s="357">
        <v>0</v>
      </c>
      <c r="N9" s="356">
        <v>191</v>
      </c>
      <c r="O9" s="358">
        <v>26.18</v>
      </c>
      <c r="P9" s="359">
        <v>0</v>
      </c>
      <c r="Q9" s="359">
        <f>+L9-N9</f>
        <v>0</v>
      </c>
      <c r="R9" s="361">
        <f t="shared" si="0"/>
        <v>0</v>
      </c>
      <c r="S9" s="359">
        <v>0</v>
      </c>
      <c r="T9" s="361">
        <v>0</v>
      </c>
      <c r="U9" s="362">
        <v>2000</v>
      </c>
      <c r="V9" s="358">
        <v>0</v>
      </c>
      <c r="W9" s="363">
        <v>600</v>
      </c>
    </row>
    <row r="10" spans="1:23" x14ac:dyDescent="0.2">
      <c r="A10" s="351" t="s">
        <v>151</v>
      </c>
      <c r="B10" s="352" t="s">
        <v>283</v>
      </c>
      <c r="C10" s="353" t="s">
        <v>206</v>
      </c>
      <c r="D10" s="354" t="s">
        <v>121</v>
      </c>
      <c r="E10" s="355">
        <v>36679</v>
      </c>
      <c r="F10" s="355">
        <v>26728</v>
      </c>
      <c r="G10" s="355">
        <v>42547</v>
      </c>
      <c r="H10" s="355" t="s">
        <v>213</v>
      </c>
      <c r="I10" s="355" t="s">
        <v>117</v>
      </c>
      <c r="J10" s="356">
        <v>1</v>
      </c>
      <c r="K10" s="356">
        <v>251430</v>
      </c>
      <c r="L10" s="357">
        <v>191</v>
      </c>
      <c r="M10" s="357">
        <v>0</v>
      </c>
      <c r="N10" s="356">
        <v>191</v>
      </c>
      <c r="O10" s="358">
        <v>15.704800000000001</v>
      </c>
      <c r="P10" s="359">
        <v>0</v>
      </c>
      <c r="Q10" s="359">
        <f t="shared" ref="Q10:Q11" si="1">+L10-N10</f>
        <v>0</v>
      </c>
      <c r="R10" s="361">
        <f t="shared" si="0"/>
        <v>0</v>
      </c>
      <c r="S10" s="359">
        <v>0</v>
      </c>
      <c r="T10" s="361">
        <v>0</v>
      </c>
      <c r="U10" s="362">
        <v>500</v>
      </c>
      <c r="V10" s="358">
        <v>0</v>
      </c>
      <c r="W10" s="363">
        <v>600</v>
      </c>
    </row>
    <row r="11" spans="1:23" x14ac:dyDescent="0.2">
      <c r="A11" s="351" t="s">
        <v>152</v>
      </c>
      <c r="B11" s="352" t="s">
        <v>284</v>
      </c>
      <c r="C11" s="353" t="s">
        <v>207</v>
      </c>
      <c r="D11" s="354" t="s">
        <v>220</v>
      </c>
      <c r="E11" s="355">
        <v>37012</v>
      </c>
      <c r="F11" s="355">
        <v>26422</v>
      </c>
      <c r="G11" s="355">
        <v>42547</v>
      </c>
      <c r="H11" s="355" t="s">
        <v>213</v>
      </c>
      <c r="I11" s="355" t="s">
        <v>117</v>
      </c>
      <c r="J11" s="356">
        <v>2</v>
      </c>
      <c r="K11" s="356">
        <v>265143</v>
      </c>
      <c r="L11" s="357">
        <v>198</v>
      </c>
      <c r="M11" s="357">
        <v>0</v>
      </c>
      <c r="N11" s="356">
        <v>191</v>
      </c>
      <c r="O11" s="358">
        <v>15.704800000000001</v>
      </c>
      <c r="P11" s="359">
        <v>0</v>
      </c>
      <c r="Q11" s="359">
        <f t="shared" si="1"/>
        <v>7</v>
      </c>
      <c r="R11" s="361">
        <f t="shared" si="0"/>
        <v>0</v>
      </c>
      <c r="S11" s="359">
        <v>0</v>
      </c>
      <c r="T11" s="361">
        <v>0</v>
      </c>
      <c r="U11" s="362">
        <v>500</v>
      </c>
      <c r="V11" s="358">
        <v>0</v>
      </c>
      <c r="W11" s="363">
        <v>600</v>
      </c>
    </row>
    <row r="12" spans="1:23" x14ac:dyDescent="0.2">
      <c r="A12" s="351" t="s">
        <v>153</v>
      </c>
      <c r="B12" s="366"/>
      <c r="C12" s="366"/>
      <c r="D12" s="354"/>
      <c r="E12" s="355"/>
      <c r="F12" s="355"/>
      <c r="G12" s="355"/>
      <c r="H12" s="355" t="s">
        <v>213</v>
      </c>
      <c r="I12" s="355"/>
      <c r="J12" s="367"/>
      <c r="K12" s="367"/>
      <c r="L12" s="367"/>
      <c r="M12" s="357"/>
      <c r="N12" s="356"/>
      <c r="O12" s="358"/>
      <c r="P12" s="360"/>
      <c r="Q12" s="360"/>
      <c r="R12" s="361"/>
      <c r="S12" s="359"/>
      <c r="T12" s="361"/>
      <c r="U12" s="362"/>
      <c r="V12" s="358"/>
      <c r="W12" s="363"/>
    </row>
    <row r="13" spans="1:23" x14ac:dyDescent="0.2">
      <c r="A13" s="351" t="s">
        <v>154</v>
      </c>
      <c r="B13" s="366"/>
      <c r="C13" s="366"/>
      <c r="D13" s="354"/>
      <c r="E13" s="355"/>
      <c r="F13" s="355"/>
      <c r="G13" s="355"/>
      <c r="H13" s="355" t="s">
        <v>213</v>
      </c>
      <c r="I13" s="355"/>
      <c r="J13" s="367"/>
      <c r="K13" s="367"/>
      <c r="L13" s="367"/>
      <c r="M13" s="357"/>
      <c r="N13" s="356"/>
      <c r="O13" s="358"/>
      <c r="P13" s="360"/>
      <c r="Q13" s="360"/>
      <c r="R13" s="361"/>
      <c r="S13" s="359"/>
      <c r="T13" s="361"/>
      <c r="U13" s="362"/>
      <c r="V13" s="358"/>
      <c r="W13" s="363"/>
    </row>
    <row r="14" spans="1:23" x14ac:dyDescent="0.2">
      <c r="A14" s="351" t="s">
        <v>155</v>
      </c>
      <c r="B14" s="366"/>
      <c r="C14" s="366"/>
      <c r="D14" s="354"/>
      <c r="E14" s="355"/>
      <c r="F14" s="355"/>
      <c r="G14" s="355"/>
      <c r="H14" s="355" t="s">
        <v>213</v>
      </c>
      <c r="I14" s="355"/>
      <c r="J14" s="367"/>
      <c r="K14" s="367"/>
      <c r="L14" s="367"/>
      <c r="M14" s="357"/>
      <c r="N14" s="356"/>
      <c r="O14" s="358"/>
      <c r="P14" s="360"/>
      <c r="Q14" s="360"/>
      <c r="R14" s="361"/>
      <c r="S14" s="359"/>
      <c r="T14" s="361"/>
      <c r="U14" s="362"/>
      <c r="V14" s="358"/>
      <c r="W14" s="363"/>
    </row>
    <row r="15" spans="1:23" x14ac:dyDescent="0.2">
      <c r="A15" s="351" t="s">
        <v>156</v>
      </c>
      <c r="B15" s="366"/>
      <c r="C15" s="366"/>
      <c r="D15" s="354"/>
      <c r="E15" s="355"/>
      <c r="F15" s="355"/>
      <c r="G15" s="355"/>
      <c r="H15" s="355" t="s">
        <v>213</v>
      </c>
      <c r="I15" s="355"/>
      <c r="J15" s="367"/>
      <c r="K15" s="367"/>
      <c r="L15" s="367"/>
      <c r="M15" s="357"/>
      <c r="N15" s="356"/>
      <c r="O15" s="358"/>
      <c r="P15" s="360"/>
      <c r="Q15" s="360"/>
      <c r="R15" s="361"/>
      <c r="S15" s="359"/>
      <c r="T15" s="361"/>
      <c r="U15" s="362"/>
      <c r="V15" s="358"/>
      <c r="W15" s="363"/>
    </row>
    <row r="16" spans="1:23" x14ac:dyDescent="0.2">
      <c r="A16" s="364" t="s">
        <v>198</v>
      </c>
      <c r="B16" s="366"/>
      <c r="C16" s="366"/>
      <c r="D16" s="354"/>
      <c r="E16" s="355"/>
      <c r="F16" s="355"/>
      <c r="G16" s="355"/>
      <c r="H16" s="355" t="s">
        <v>213</v>
      </c>
      <c r="I16" s="355"/>
      <c r="J16" s="367"/>
      <c r="K16" s="367"/>
      <c r="L16" s="367"/>
      <c r="M16" s="357"/>
      <c r="N16" s="356"/>
      <c r="O16" s="358"/>
      <c r="P16" s="360"/>
      <c r="Q16" s="360"/>
      <c r="R16" s="361"/>
      <c r="S16" s="359"/>
      <c r="T16" s="361"/>
      <c r="U16" s="362"/>
      <c r="V16" s="358"/>
      <c r="W16" s="363"/>
    </row>
    <row r="17" spans="1:23" x14ac:dyDescent="0.2">
      <c r="A17" s="365" t="s">
        <v>199</v>
      </c>
      <c r="B17" s="366"/>
      <c r="C17" s="366"/>
      <c r="D17" s="354"/>
      <c r="E17" s="355"/>
      <c r="F17" s="355"/>
      <c r="G17" s="355"/>
      <c r="H17" s="355" t="s">
        <v>213</v>
      </c>
      <c r="I17" s="355"/>
      <c r="J17" s="367"/>
      <c r="K17" s="367"/>
      <c r="L17" s="367"/>
      <c r="M17" s="357"/>
      <c r="N17" s="356"/>
      <c r="O17" s="358"/>
      <c r="P17" s="360"/>
      <c r="Q17" s="360"/>
      <c r="R17" s="361"/>
      <c r="S17" s="359"/>
      <c r="T17" s="361"/>
      <c r="U17" s="362"/>
      <c r="V17" s="358"/>
      <c r="W17" s="363"/>
    </row>
    <row r="18" spans="1:23" x14ac:dyDescent="0.2">
      <c r="A18" s="365" t="s">
        <v>200</v>
      </c>
      <c r="B18" s="366"/>
      <c r="C18" s="366"/>
      <c r="D18" s="354"/>
      <c r="E18" s="355"/>
      <c r="F18" s="355"/>
      <c r="G18" s="355"/>
      <c r="H18" s="355" t="s">
        <v>213</v>
      </c>
      <c r="I18" s="355"/>
      <c r="J18" s="367"/>
      <c r="K18" s="367"/>
      <c r="L18" s="367"/>
      <c r="M18" s="357"/>
      <c r="N18" s="356"/>
      <c r="O18" s="358"/>
      <c r="P18" s="360"/>
      <c r="Q18" s="360"/>
      <c r="R18" s="361"/>
      <c r="S18" s="359"/>
      <c r="T18" s="361"/>
      <c r="U18" s="362"/>
      <c r="V18" s="358"/>
      <c r="W18" s="363"/>
    </row>
    <row r="19" spans="1:23" x14ac:dyDescent="0.2">
      <c r="A19" s="365" t="s">
        <v>201</v>
      </c>
      <c r="B19" s="368"/>
      <c r="C19" s="368"/>
      <c r="D19" s="369"/>
      <c r="E19" s="369"/>
      <c r="F19" s="369"/>
      <c r="G19" s="369"/>
      <c r="H19" s="355" t="s">
        <v>213</v>
      </c>
      <c r="I19" s="368"/>
      <c r="J19" s="368"/>
      <c r="K19" s="368"/>
      <c r="L19" s="368"/>
      <c r="M19" s="368"/>
      <c r="N19" s="368"/>
      <c r="O19" s="368"/>
      <c r="P19" s="368"/>
      <c r="Q19" s="368"/>
      <c r="R19" s="370"/>
      <c r="S19" s="370"/>
      <c r="T19" s="370"/>
      <c r="U19" s="368"/>
      <c r="V19" s="368"/>
      <c r="W19" s="368"/>
    </row>
    <row r="20" spans="1:23" x14ac:dyDescent="0.2">
      <c r="A20" s="365" t="s">
        <v>202</v>
      </c>
      <c r="B20" s="368"/>
      <c r="C20" s="368"/>
      <c r="D20" s="369"/>
      <c r="E20" s="369"/>
      <c r="F20" s="369"/>
      <c r="G20" s="369"/>
      <c r="H20" s="355" t="s">
        <v>213</v>
      </c>
      <c r="I20" s="368"/>
      <c r="J20" s="368"/>
      <c r="K20" s="368"/>
      <c r="L20" s="368"/>
      <c r="M20" s="368"/>
      <c r="N20" s="368"/>
      <c r="O20" s="368"/>
      <c r="P20" s="368"/>
      <c r="Q20" s="368"/>
      <c r="R20" s="370"/>
      <c r="S20" s="370"/>
      <c r="T20" s="370"/>
      <c r="U20" s="368"/>
      <c r="V20" s="368"/>
      <c r="W20" s="368"/>
    </row>
    <row r="21" spans="1:23" x14ac:dyDescent="0.2">
      <c r="A21" s="365" t="s">
        <v>203</v>
      </c>
      <c r="B21" s="368"/>
      <c r="C21" s="368"/>
      <c r="D21" s="369"/>
      <c r="E21" s="369"/>
      <c r="F21" s="369"/>
      <c r="G21" s="369"/>
      <c r="H21" s="355" t="s">
        <v>213</v>
      </c>
      <c r="I21" s="368"/>
      <c r="J21" s="368"/>
      <c r="K21" s="368"/>
      <c r="L21" s="368"/>
      <c r="M21" s="368"/>
      <c r="N21" s="368"/>
      <c r="O21" s="368"/>
      <c r="P21" s="368"/>
      <c r="Q21" s="368"/>
      <c r="R21" s="370"/>
      <c r="S21" s="370"/>
      <c r="T21" s="370"/>
      <c r="U21" s="368"/>
      <c r="V21" s="368"/>
      <c r="W21" s="368"/>
    </row>
    <row r="22" spans="1:23" x14ac:dyDescent="0.2">
      <c r="A22" s="365" t="s">
        <v>204</v>
      </c>
      <c r="B22" s="368"/>
      <c r="C22" s="368"/>
      <c r="D22" s="369"/>
      <c r="E22" s="369"/>
      <c r="F22" s="369"/>
      <c r="G22" s="369"/>
      <c r="H22" s="355" t="s">
        <v>213</v>
      </c>
      <c r="I22" s="368"/>
      <c r="J22" s="368"/>
      <c r="K22" s="368"/>
      <c r="L22" s="368"/>
      <c r="M22" s="368"/>
      <c r="N22" s="368"/>
      <c r="O22" s="368"/>
      <c r="P22" s="368"/>
      <c r="Q22" s="368"/>
      <c r="R22" s="370"/>
      <c r="S22" s="370"/>
      <c r="T22" s="370"/>
      <c r="U22" s="368"/>
      <c r="V22" s="368"/>
      <c r="W22" s="368"/>
    </row>
    <row r="23" spans="1:23" x14ac:dyDescent="0.2">
      <c r="A23" s="365" t="s">
        <v>205</v>
      </c>
      <c r="B23" s="368"/>
      <c r="C23" s="368"/>
      <c r="D23" s="369"/>
      <c r="E23" s="369"/>
      <c r="F23" s="369"/>
      <c r="G23" s="369"/>
      <c r="H23" s="355" t="s">
        <v>213</v>
      </c>
      <c r="I23" s="368"/>
      <c r="J23" s="368"/>
      <c r="K23" s="368"/>
      <c r="L23" s="368"/>
      <c r="M23" s="368"/>
      <c r="N23" s="368"/>
      <c r="O23" s="368"/>
      <c r="P23" s="368"/>
      <c r="Q23" s="368"/>
      <c r="R23" s="370"/>
      <c r="S23" s="370"/>
      <c r="T23" s="370"/>
      <c r="U23" s="368"/>
      <c r="V23" s="368"/>
      <c r="W23" s="368"/>
    </row>
    <row r="24" spans="1:23" x14ac:dyDescent="0.2">
      <c r="A24" s="365" t="s">
        <v>255</v>
      </c>
      <c r="B24" s="368"/>
      <c r="C24" s="368"/>
      <c r="D24" s="369"/>
      <c r="E24" s="369"/>
      <c r="F24" s="369"/>
      <c r="G24" s="369"/>
      <c r="H24" s="355" t="s">
        <v>213</v>
      </c>
      <c r="I24" s="368"/>
      <c r="J24" s="368"/>
      <c r="K24" s="368"/>
      <c r="L24" s="368"/>
      <c r="M24" s="368"/>
      <c r="N24" s="368"/>
      <c r="O24" s="368"/>
      <c r="P24" s="368"/>
      <c r="Q24" s="368"/>
      <c r="R24" s="370"/>
      <c r="S24" s="370"/>
      <c r="T24" s="370"/>
      <c r="U24" s="368"/>
      <c r="V24" s="368"/>
      <c r="W24" s="368"/>
    </row>
    <row r="25" spans="1:23" x14ac:dyDescent="0.2">
      <c r="A25" s="365" t="s">
        <v>256</v>
      </c>
      <c r="B25" s="368"/>
      <c r="C25" s="368"/>
      <c r="D25" s="369"/>
      <c r="E25" s="369"/>
      <c r="F25" s="369"/>
      <c r="G25" s="369"/>
      <c r="H25" s="355" t="s">
        <v>213</v>
      </c>
      <c r="I25" s="368"/>
      <c r="J25" s="368"/>
      <c r="K25" s="368"/>
      <c r="L25" s="368"/>
      <c r="M25" s="368"/>
      <c r="N25" s="368"/>
      <c r="O25" s="368"/>
      <c r="P25" s="368"/>
      <c r="Q25" s="368"/>
      <c r="R25" s="370"/>
      <c r="S25" s="370"/>
      <c r="T25" s="370"/>
      <c r="U25" s="368"/>
      <c r="V25" s="368"/>
      <c r="W25" s="368"/>
    </row>
    <row r="26" spans="1:23" x14ac:dyDescent="0.2">
      <c r="A26" s="365" t="s">
        <v>257</v>
      </c>
      <c r="B26" s="368"/>
      <c r="C26" s="368"/>
      <c r="D26" s="369"/>
      <c r="E26" s="369"/>
      <c r="F26" s="369"/>
      <c r="G26" s="369"/>
      <c r="H26" s="355" t="s">
        <v>213</v>
      </c>
      <c r="I26" s="368"/>
      <c r="J26" s="368"/>
      <c r="K26" s="368"/>
      <c r="L26" s="368"/>
      <c r="M26" s="368"/>
      <c r="N26" s="368"/>
      <c r="O26" s="368"/>
      <c r="P26" s="368"/>
      <c r="Q26" s="368"/>
      <c r="R26" s="370"/>
      <c r="S26" s="370"/>
      <c r="T26" s="370"/>
      <c r="U26" s="368"/>
      <c r="V26" s="368"/>
      <c r="W26" s="368"/>
    </row>
    <row r="27" spans="1:23" x14ac:dyDescent="0.2">
      <c r="A27" s="365" t="s">
        <v>258</v>
      </c>
      <c r="B27" s="368"/>
      <c r="C27" s="368"/>
      <c r="D27" s="369"/>
      <c r="E27" s="369"/>
      <c r="F27" s="369"/>
      <c r="G27" s="369"/>
      <c r="H27" s="355" t="s">
        <v>213</v>
      </c>
      <c r="I27" s="368"/>
      <c r="J27" s="368"/>
      <c r="K27" s="368"/>
      <c r="L27" s="368"/>
      <c r="M27" s="368"/>
      <c r="N27" s="368"/>
      <c r="O27" s="368"/>
      <c r="P27" s="368"/>
      <c r="Q27" s="368"/>
      <c r="R27" s="370"/>
      <c r="S27" s="370"/>
      <c r="T27" s="370"/>
      <c r="U27" s="368"/>
      <c r="V27" s="368"/>
      <c r="W27" s="368"/>
    </row>
    <row r="28" spans="1:23" x14ac:dyDescent="0.2">
      <c r="A28" s="365" t="s">
        <v>259</v>
      </c>
      <c r="B28" s="368"/>
      <c r="C28" s="368"/>
      <c r="D28" s="369"/>
      <c r="E28" s="369"/>
      <c r="F28" s="369"/>
      <c r="G28" s="369"/>
      <c r="H28" s="355" t="s">
        <v>213</v>
      </c>
      <c r="I28" s="368"/>
      <c r="J28" s="368"/>
      <c r="K28" s="368"/>
      <c r="L28" s="368"/>
      <c r="M28" s="368"/>
      <c r="N28" s="368"/>
      <c r="O28" s="368"/>
      <c r="P28" s="368"/>
      <c r="Q28" s="368"/>
      <c r="R28" s="370"/>
      <c r="S28" s="370"/>
      <c r="T28" s="370"/>
      <c r="U28" s="368"/>
      <c r="V28" s="368"/>
      <c r="W28" s="368"/>
    </row>
    <row r="29" spans="1:23" x14ac:dyDescent="0.2">
      <c r="A29" s="365" t="s">
        <v>260</v>
      </c>
      <c r="B29" s="368"/>
      <c r="C29" s="368"/>
      <c r="D29" s="369"/>
      <c r="E29" s="369"/>
      <c r="F29" s="369"/>
      <c r="G29" s="369"/>
      <c r="H29" s="355" t="s">
        <v>213</v>
      </c>
      <c r="I29" s="368"/>
      <c r="J29" s="368"/>
      <c r="K29" s="368"/>
      <c r="L29" s="368"/>
      <c r="M29" s="368"/>
      <c r="N29" s="368"/>
      <c r="O29" s="368"/>
      <c r="P29" s="368"/>
      <c r="Q29" s="368"/>
      <c r="R29" s="370"/>
      <c r="S29" s="370"/>
      <c r="T29" s="370"/>
      <c r="U29" s="368"/>
      <c r="V29" s="368"/>
      <c r="W29" s="368"/>
    </row>
    <row r="30" spans="1:23" x14ac:dyDescent="0.2">
      <c r="A30" s="365" t="s">
        <v>261</v>
      </c>
      <c r="B30" s="368"/>
      <c r="C30" s="368"/>
      <c r="D30" s="369"/>
      <c r="E30" s="369"/>
      <c r="F30" s="369"/>
      <c r="G30" s="369"/>
      <c r="H30" s="355" t="s">
        <v>213</v>
      </c>
      <c r="I30" s="368"/>
      <c r="J30" s="368"/>
      <c r="K30" s="368"/>
      <c r="L30" s="368"/>
      <c r="M30" s="368"/>
      <c r="N30" s="368"/>
      <c r="O30" s="368"/>
      <c r="P30" s="368"/>
      <c r="Q30" s="368"/>
      <c r="R30" s="370"/>
      <c r="S30" s="370"/>
      <c r="T30" s="370"/>
      <c r="U30" s="368"/>
      <c r="V30" s="368"/>
      <c r="W30" s="368"/>
    </row>
    <row r="31" spans="1:23" x14ac:dyDescent="0.2">
      <c r="A31" s="365" t="s">
        <v>262</v>
      </c>
      <c r="B31" s="368"/>
      <c r="C31" s="368"/>
      <c r="D31" s="369"/>
      <c r="E31" s="369"/>
      <c r="F31" s="369"/>
      <c r="G31" s="369"/>
      <c r="H31" s="355" t="s">
        <v>213</v>
      </c>
      <c r="I31" s="368"/>
      <c r="J31" s="368"/>
      <c r="K31" s="368"/>
      <c r="L31" s="368"/>
      <c r="M31" s="368"/>
      <c r="N31" s="368"/>
      <c r="O31" s="368"/>
      <c r="P31" s="368"/>
      <c r="Q31" s="368"/>
      <c r="R31" s="370"/>
      <c r="S31" s="370"/>
      <c r="T31" s="370"/>
      <c r="U31" s="368"/>
      <c r="V31" s="368"/>
      <c r="W31" s="368"/>
    </row>
    <row r="37" spans="4:15" ht="15.75" thickBot="1" x14ac:dyDescent="0.25"/>
    <row r="38" spans="4:15" ht="21.75" thickBot="1" x14ac:dyDescent="0.35">
      <c r="D38" s="344" t="s">
        <v>254</v>
      </c>
      <c r="E38" s="345"/>
      <c r="F38" s="345"/>
      <c r="G38" s="345"/>
      <c r="H38" s="346"/>
      <c r="I38" s="347"/>
      <c r="J38" s="347"/>
      <c r="K38" s="347"/>
      <c r="L38" s="347"/>
      <c r="M38" s="347"/>
      <c r="N38" s="347"/>
      <c r="O38" s="348"/>
    </row>
    <row r="39" spans="4:15" ht="15.75" thickBot="1" x14ac:dyDescent="0.25">
      <c r="D39" s="24"/>
      <c r="H39" s="25"/>
    </row>
    <row r="40" spans="4:15" ht="21.75" thickBot="1" x14ac:dyDescent="0.35">
      <c r="D40" s="344" t="s">
        <v>266</v>
      </c>
      <c r="E40" s="349"/>
      <c r="F40" s="349"/>
      <c r="G40" s="350"/>
      <c r="H40" s="25"/>
    </row>
  </sheetData>
  <sheetProtection selectLockedCells="1" selectUnlockedCells="1"/>
  <mergeCells count="1">
    <mergeCell ref="Q5:S5"/>
  </mergeCells>
  <dataValidations count="2">
    <dataValidation type="list" allowBlank="1" showInputMessage="1" showErrorMessage="1" sqref="H7:H31" xr:uid="{00000000-0002-0000-0300-000000000000}">
      <formula1>MOIS</formula1>
    </dataValidation>
    <dataValidation type="list" allowBlank="1" showInputMessage="1" showErrorMessage="1" sqref="G7:G18" xr:uid="{00000000-0002-0000-0300-000001000000}">
      <formula1>ACTUEL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Z34"/>
  <sheetViews>
    <sheetView topLeftCell="L1" workbookViewId="0">
      <selection activeCell="P12" sqref="P12"/>
    </sheetView>
  </sheetViews>
  <sheetFormatPr defaultColWidth="10.76171875" defaultRowHeight="15" x14ac:dyDescent="0.2"/>
  <cols>
    <col min="1" max="1" width="11.43359375" style="24"/>
    <col min="2" max="2" width="20.3125" style="24" customWidth="1"/>
    <col min="3" max="3" width="13.046875" style="24" customWidth="1"/>
    <col min="4" max="6" width="10.0859375" style="24" customWidth="1"/>
    <col min="7" max="8" width="11.43359375" style="24"/>
    <col min="9" max="9" width="9.55078125" style="24" customWidth="1"/>
    <col min="10" max="10" width="11.296875" style="24" customWidth="1"/>
    <col min="11" max="11" width="9.68359375" style="24" customWidth="1"/>
    <col min="12" max="12" width="12.64453125" style="24" customWidth="1"/>
    <col min="13" max="13" width="13.31640625" customWidth="1"/>
    <col min="14" max="14" width="14.66015625" customWidth="1"/>
    <col min="15" max="15" width="13.5859375" customWidth="1"/>
    <col min="17" max="17" width="12.375" customWidth="1"/>
    <col min="25" max="25" width="12.375" customWidth="1"/>
  </cols>
  <sheetData>
    <row r="1" spans="1:26" ht="21" x14ac:dyDescent="0.3">
      <c r="A1" s="114" t="s">
        <v>189</v>
      </c>
      <c r="B1" s="115"/>
      <c r="C1" s="115"/>
      <c r="D1" s="115"/>
      <c r="E1" s="115"/>
      <c r="F1" s="115"/>
      <c r="G1" s="115"/>
    </row>
    <row r="2" spans="1:26" ht="15.75" thickBot="1" x14ac:dyDescent="0.25"/>
    <row r="3" spans="1:26" s="379" customFormat="1" ht="57" customHeight="1" thickBot="1" x14ac:dyDescent="0.25">
      <c r="A3" s="376" t="s">
        <v>147</v>
      </c>
      <c r="B3" s="376" t="s">
        <v>186</v>
      </c>
      <c r="C3" s="376" t="s">
        <v>263</v>
      </c>
      <c r="D3" s="376" t="s">
        <v>123</v>
      </c>
      <c r="E3" s="376" t="s">
        <v>188</v>
      </c>
      <c r="F3" s="376" t="s">
        <v>250</v>
      </c>
      <c r="G3" s="376" t="s">
        <v>57</v>
      </c>
      <c r="H3" s="377" t="s">
        <v>197</v>
      </c>
      <c r="I3" s="400" t="s">
        <v>187</v>
      </c>
      <c r="J3" s="401"/>
      <c r="K3" s="402"/>
      <c r="L3" s="378" t="s">
        <v>225</v>
      </c>
      <c r="M3" s="378" t="s">
        <v>236</v>
      </c>
      <c r="N3" s="378" t="s">
        <v>52</v>
      </c>
      <c r="O3" s="378" t="s">
        <v>244</v>
      </c>
      <c r="P3" s="378" t="s">
        <v>245</v>
      </c>
      <c r="Q3" s="378" t="s">
        <v>246</v>
      </c>
      <c r="R3" s="378" t="s">
        <v>247</v>
      </c>
      <c r="S3" s="378" t="s">
        <v>40</v>
      </c>
      <c r="T3" s="378" t="s">
        <v>35</v>
      </c>
      <c r="U3" s="378" t="s">
        <v>36</v>
      </c>
      <c r="V3" s="378" t="s">
        <v>248</v>
      </c>
      <c r="W3" s="378" t="s">
        <v>70</v>
      </c>
      <c r="X3" s="378" t="s">
        <v>241</v>
      </c>
      <c r="Y3" s="378" t="s">
        <v>249</v>
      </c>
      <c r="Z3" s="378" t="s">
        <v>179</v>
      </c>
    </row>
    <row r="4" spans="1:26" ht="15.75" thickBot="1" x14ac:dyDescent="0.25">
      <c r="A4" s="112"/>
      <c r="B4" s="112"/>
      <c r="C4" s="112"/>
      <c r="D4" s="112"/>
      <c r="E4" s="112"/>
      <c r="F4" s="112"/>
      <c r="G4" s="112"/>
      <c r="H4" s="112"/>
      <c r="I4" s="113">
        <v>0.25</v>
      </c>
      <c r="J4" s="113">
        <v>0.5</v>
      </c>
      <c r="K4" s="113">
        <v>1</v>
      </c>
      <c r="L4" s="235" t="s">
        <v>226</v>
      </c>
      <c r="M4" s="112"/>
      <c r="N4" s="112"/>
      <c r="O4" s="235" t="s">
        <v>226</v>
      </c>
      <c r="P4" s="112"/>
      <c r="Q4" s="235" t="s">
        <v>226</v>
      </c>
      <c r="R4" s="235" t="s">
        <v>226</v>
      </c>
      <c r="S4" s="235" t="s">
        <v>226</v>
      </c>
      <c r="T4" s="235" t="s">
        <v>226</v>
      </c>
      <c r="U4" s="235" t="s">
        <v>226</v>
      </c>
      <c r="V4" s="235" t="s">
        <v>226</v>
      </c>
      <c r="W4" s="235" t="s">
        <v>226</v>
      </c>
      <c r="X4" s="235" t="s">
        <v>226</v>
      </c>
      <c r="Y4" s="235"/>
      <c r="Z4" s="235" t="s">
        <v>226</v>
      </c>
    </row>
    <row r="5" spans="1:26" x14ac:dyDescent="0.2">
      <c r="A5" s="109" t="s">
        <v>148</v>
      </c>
      <c r="B5" s="203" t="str">
        <f>VLOOKUP(A5,'FICHE SALARIES'!A5:C23,2,FALSE)</f>
        <v>SALMI AMIN</v>
      </c>
      <c r="C5" s="111">
        <f>+'FICHE SALARIES'!L7-'FICHE SALARIES'!P7</f>
        <v>194</v>
      </c>
      <c r="D5" s="110">
        <v>191</v>
      </c>
      <c r="E5" s="210">
        <f>VLOOKUP(A5,'FICHE SALARIES'!A5:O23,15,FALSE)</f>
        <v>20.94</v>
      </c>
      <c r="F5" s="107">
        <f>IF(C5-D5&gt;=0,C5-D5,0)</f>
        <v>3</v>
      </c>
      <c r="G5" s="108">
        <f>ROUND(IF(C5-D5&gt;=0,D5*E5,C5*E5),0)</f>
        <v>4000</v>
      </c>
      <c r="H5" s="212">
        <f>VLOOKUP(A5,'FICHE SALARIES'!A5:U23,21,FALSE)</f>
        <v>1000</v>
      </c>
      <c r="I5" s="214">
        <f>ROUND(F5*E5*125%,0)</f>
        <v>79</v>
      </c>
      <c r="J5" s="214">
        <f>ROUND('FICHE SALARIES'!R7*'FICHE SALARIES'!O7*150%,0)</f>
        <v>0</v>
      </c>
      <c r="K5" s="216">
        <f>ROUND('FICHE SALARIES'!S7*'FICHE SALARIES'!O7*200%,0)</f>
        <v>0</v>
      </c>
      <c r="L5" s="217">
        <f>ROUND('FICHE SALARIES'!T7*'FICHE SALARIES'!O7,0)</f>
        <v>0</v>
      </c>
      <c r="M5" s="228">
        <f>DATEDIF('FICHE SALARIES'!E7,'FICHE SALARIES'!G7,"m")</f>
        <v>62</v>
      </c>
      <c r="N5" s="233">
        <f>IF(M5&gt;=300,25%,IF(M5&gt;=240,20%,IF(M5&gt;=144,15%,IF(M5&gt;=60,10%,IF(M5&gt;=24,5%,0)))))</f>
        <v>0.1</v>
      </c>
      <c r="O5" s="239">
        <f>ROUND((G5+I5+J5+K5)*N5,0)</f>
        <v>408</v>
      </c>
      <c r="P5" s="229">
        <f>+'FICHE SALARIES'!V7</f>
        <v>0</v>
      </c>
      <c r="Q5" s="229">
        <f>ROUND(G5+I5+J5+K5+O5+P5,0)</f>
        <v>4487</v>
      </c>
      <c r="R5" s="229">
        <f>IF(Q5*20%&lt;=2500,Q5*20%,2500)</f>
        <v>897.40000000000009</v>
      </c>
      <c r="S5" s="241">
        <f>IF(Q5&lt;=6000,Q5*4.48%,6000*4.48%)</f>
        <v>201.01760000000002</v>
      </c>
      <c r="T5" s="229">
        <f>ROUND(Q5*2.26%,0)</f>
        <v>101</v>
      </c>
      <c r="U5" s="229">
        <f>ROUND(Q5*6%,0)</f>
        <v>269</v>
      </c>
      <c r="V5" s="229">
        <f>Q5-R5-S5-T5-U5</f>
        <v>3018.5823999999998</v>
      </c>
      <c r="W5" s="229">
        <f>IF(V5&gt;15000,V5*38%-2033.33,IF(V5&gt;6666.67,V5*34%-1433.33,IF(V5&gt;5000,V5*30%-1166.67,IF(V5&gt;4166.67,V5*20%-666.67,IF(V5&gt;2500,V5*10%-250,0)))))</f>
        <v>51.858239999999967</v>
      </c>
      <c r="X5" s="229">
        <f>IF(AND(W5-'FICHE SALARIES'!J7*30&gt;0,'FICHE SALARIES'!J7&lt;=6),W5-'FICHE SALARIES'!J7*30,0)</f>
        <v>51.858239999999967</v>
      </c>
      <c r="Y5" s="229">
        <f>'FICHE SALARIES'!W7</f>
        <v>600</v>
      </c>
      <c r="Z5" s="229">
        <f>ROUND(Q5-S5-T5-U5-X5+Y5-H5,0)</f>
        <v>3464</v>
      </c>
    </row>
    <row r="6" spans="1:26" x14ac:dyDescent="0.2">
      <c r="A6" s="105" t="s">
        <v>149</v>
      </c>
      <c r="B6" s="106" t="str">
        <f>VLOOKUP(A6,'FICHE SALARIES'!A6:C31,2,FALSE)</f>
        <v>ABDNABI LBAYAD</v>
      </c>
      <c r="C6" s="111">
        <f>+'FICHE SALARIES'!L8-'FICHE SALARIES'!P8</f>
        <v>201</v>
      </c>
      <c r="D6" s="107">
        <v>191</v>
      </c>
      <c r="E6" s="210">
        <f>VLOOKUP(A6,'FICHE SALARIES'!A6:O31,15,FALSE)</f>
        <v>23.56</v>
      </c>
      <c r="F6" s="107">
        <f>IF(C6-D6&gt;=0,C6-D6,0)</f>
        <v>10</v>
      </c>
      <c r="G6" s="108">
        <f t="shared" ref="G6:G9" si="0">ROUND(IF(C6-D6&gt;=0,D6*E6,C6*E6),0)</f>
        <v>4500</v>
      </c>
      <c r="H6" s="212">
        <f>VLOOKUP(A6,'FICHE SALARIES'!A6:U31,21,FALSE)</f>
        <v>1500</v>
      </c>
      <c r="I6" s="214">
        <f t="shared" ref="I6:I29" si="1">ROUND(F6*E6*125%,0)</f>
        <v>295</v>
      </c>
      <c r="J6" s="214">
        <f>ROUND('FICHE SALARIES'!R8*'FICHE SALARIES'!O8*150%,0)</f>
        <v>0</v>
      </c>
      <c r="K6" s="214">
        <f>ROUND('FICHE SALARIES'!S8*'FICHE SALARIES'!O8*200%,0)</f>
        <v>0</v>
      </c>
      <c r="L6" s="217">
        <f>ROUND('FICHE SALARIES'!T8*'FICHE SALARIES'!O8,0)</f>
        <v>1037</v>
      </c>
      <c r="M6" s="229">
        <f>DATEDIF('FICHE SALARIES'!E8,'FICHE SALARIES'!G8,"m")</f>
        <v>84</v>
      </c>
      <c r="N6" s="232">
        <f t="shared" ref="N6:N29" si="2">IF(M6&gt;=300,25%,IF(M6&gt;=240,20%,IF(M6&gt;=144,15%,IF(M6&gt;=60,10%,IF(M6&gt;=24,5%,0)))))</f>
        <v>0.1</v>
      </c>
      <c r="O6" s="239">
        <f t="shared" ref="O6:O29" si="3">ROUND((G6+I6+J6+K6)*N6,0)</f>
        <v>480</v>
      </c>
      <c r="P6" s="229">
        <f>'FICHE SALARIES'!V8</f>
        <v>0</v>
      </c>
      <c r="Q6" s="229">
        <f t="shared" ref="Q6:Q29" si="4">ROUND(G6+I6+J6+K6+O6+P6,0)</f>
        <v>5275</v>
      </c>
      <c r="R6" s="229">
        <f t="shared" ref="R6:R29" si="5">IF(Q6*20%&lt;=2500,Q6*20%,2500)</f>
        <v>1055</v>
      </c>
      <c r="S6" s="241">
        <f t="shared" ref="S6:S29" si="6">IF(Q6&lt;=6000,Q6*4.48%,6000*4.48%)</f>
        <v>236.32000000000002</v>
      </c>
      <c r="T6" s="229">
        <f t="shared" ref="T6:T7" si="7">ROUND(Q6*2.26%,0)</f>
        <v>119</v>
      </c>
      <c r="U6" s="229">
        <f t="shared" ref="U6:U29" si="8">ROUND(Q6*6%,0)</f>
        <v>317</v>
      </c>
      <c r="V6" s="229">
        <f t="shared" ref="V6:V29" si="9">Q6-R6-S6-T6-U6</f>
        <v>3547.68</v>
      </c>
      <c r="W6" s="229">
        <f t="shared" ref="W6:W29" si="10">IF(V6&gt;15000,V6*38%-2033.33,IF(V6&gt;6666.67,V6*34%-1433.33,IF(V6&gt;5000,V6*30%-1166.67,IF(V6&gt;4166.67,V6*20%-666.67,IF(V6&gt;2500,V6*10%-250,0)))))</f>
        <v>104.76800000000003</v>
      </c>
      <c r="X6" s="229">
        <f>IF(AND(W6-'FICHE SALARIES'!J8*30&gt;0,'FICHE SALARIES'!J8&lt;=6),W6-'FICHE SALARIES'!J8*30,0)</f>
        <v>14.768000000000029</v>
      </c>
      <c r="Y6" s="229">
        <f>'FICHE SALARIES'!W8</f>
        <v>600</v>
      </c>
      <c r="Z6" s="229">
        <f t="shared" ref="Z6:Z29" si="11">ROUND(Q6-S6-T6-U6-X6+Y6-H6,0)</f>
        <v>3688</v>
      </c>
    </row>
    <row r="7" spans="1:26" x14ac:dyDescent="0.2">
      <c r="A7" s="105" t="s">
        <v>150</v>
      </c>
      <c r="B7" s="106" t="str">
        <f>VLOOKUP(A7,'FICHE SALARIES'!A7:C32,2,FALSE)</f>
        <v>AMIN AMIN</v>
      </c>
      <c r="C7" s="111">
        <f>+'FICHE SALARIES'!L9-'FICHE SALARIES'!P9</f>
        <v>191</v>
      </c>
      <c r="D7" s="107">
        <v>191</v>
      </c>
      <c r="E7" s="210">
        <f>VLOOKUP(A7,'FICHE SALARIES'!A7:O32,15,FALSE)</f>
        <v>26.18</v>
      </c>
      <c r="F7" s="107">
        <f t="shared" ref="F7:F9" si="12">IF(C7-D7&gt;=0,C7-D7,0)</f>
        <v>0</v>
      </c>
      <c r="G7" s="108">
        <f t="shared" si="0"/>
        <v>5000</v>
      </c>
      <c r="H7" s="212">
        <f>VLOOKUP(A7,'FICHE SALARIES'!A7:U32,21,FALSE)</f>
        <v>2000</v>
      </c>
      <c r="I7" s="214">
        <f t="shared" si="1"/>
        <v>0</v>
      </c>
      <c r="J7" s="214">
        <f>ROUND('FICHE SALARIES'!R9*'FICHE SALARIES'!O9*150%,0)</f>
        <v>0</v>
      </c>
      <c r="K7" s="214">
        <f>ROUND('FICHE SALARIES'!S9*'FICHE SALARIES'!O9*200%,0)</f>
        <v>0</v>
      </c>
      <c r="L7" s="217">
        <f>ROUND('FICHE SALARIES'!T9*'FICHE SALARIES'!O9,0)</f>
        <v>0</v>
      </c>
      <c r="M7" s="229">
        <f>DATEDIF('FICHE SALARIES'!E9,'FICHE SALARIES'!G9,"m")</f>
        <v>49</v>
      </c>
      <c r="N7" s="232">
        <f t="shared" si="2"/>
        <v>0.05</v>
      </c>
      <c r="O7" s="239">
        <f t="shared" si="3"/>
        <v>250</v>
      </c>
      <c r="P7" s="229">
        <f>'FICHE SALARIES'!V9</f>
        <v>0</v>
      </c>
      <c r="Q7" s="229">
        <f t="shared" si="4"/>
        <v>5250</v>
      </c>
      <c r="R7" s="229">
        <f t="shared" si="5"/>
        <v>1050</v>
      </c>
      <c r="S7" s="241">
        <f t="shared" si="6"/>
        <v>235.20000000000005</v>
      </c>
      <c r="T7" s="229">
        <f t="shared" si="7"/>
        <v>119</v>
      </c>
      <c r="U7" s="229">
        <f t="shared" si="8"/>
        <v>315</v>
      </c>
      <c r="V7" s="229">
        <f t="shared" si="9"/>
        <v>3530.8</v>
      </c>
      <c r="W7" s="229">
        <f t="shared" si="10"/>
        <v>103.08000000000004</v>
      </c>
      <c r="X7" s="229">
        <f>IF(AND(W7-'FICHE SALARIES'!J9*30&gt;0,'FICHE SALARIES'!J9&lt;=6),W7-'FICHE SALARIES'!J9*30,0)</f>
        <v>43.080000000000041</v>
      </c>
      <c r="Y7" s="229">
        <f>'FICHE SALARIES'!W9</f>
        <v>600</v>
      </c>
      <c r="Z7" s="229">
        <f t="shared" si="11"/>
        <v>3138</v>
      </c>
    </row>
    <row r="8" spans="1:26" x14ac:dyDescent="0.2">
      <c r="A8" s="105" t="s">
        <v>151</v>
      </c>
      <c r="B8" s="106" t="str">
        <f>VLOOKUP(A8,'FICHE SALARIES'!A8:C33,2,FALSE)</f>
        <v>ACHRAF LKHAL</v>
      </c>
      <c r="C8" s="111">
        <f>+'FICHE SALARIES'!L10-'FICHE SALARIES'!P10</f>
        <v>191</v>
      </c>
      <c r="D8" s="107">
        <v>191</v>
      </c>
      <c r="E8" s="210">
        <f>VLOOKUP(A8,'FICHE SALARIES'!A8:O33,15,FALSE)</f>
        <v>15.704800000000001</v>
      </c>
      <c r="F8" s="107">
        <f t="shared" si="12"/>
        <v>0</v>
      </c>
      <c r="G8" s="108">
        <f t="shared" si="0"/>
        <v>3000</v>
      </c>
      <c r="H8" s="212">
        <f>VLOOKUP(A8,'FICHE SALARIES'!A8:U33,21,FALSE)</f>
        <v>500</v>
      </c>
      <c r="I8" s="214">
        <f t="shared" si="1"/>
        <v>0</v>
      </c>
      <c r="J8" s="214">
        <f>ROUND('FICHE SALARIES'!R10*'FICHE SALARIES'!O10*150%,0)</f>
        <v>0</v>
      </c>
      <c r="K8" s="214">
        <f>ROUND('FICHE SALARIES'!S10*'FICHE SALARIES'!O10*200%,0)</f>
        <v>0</v>
      </c>
      <c r="L8" s="217">
        <f>ROUND('FICHE SALARIES'!T10*'FICHE SALARIES'!O10,0)</f>
        <v>0</v>
      </c>
      <c r="M8" s="229">
        <f>DATEDIF('FICHE SALARIES'!E10,'FICHE SALARIES'!G10,"m")</f>
        <v>192</v>
      </c>
      <c r="N8" s="232">
        <f t="shared" si="2"/>
        <v>0.15</v>
      </c>
      <c r="O8" s="239">
        <f t="shared" si="3"/>
        <v>450</v>
      </c>
      <c r="P8" s="229">
        <f>'FICHE SALARIES'!V10</f>
        <v>0</v>
      </c>
      <c r="Q8" s="229">
        <f t="shared" si="4"/>
        <v>3450</v>
      </c>
      <c r="R8" s="229">
        <f t="shared" si="5"/>
        <v>690</v>
      </c>
      <c r="S8" s="241">
        <f t="shared" si="6"/>
        <v>154.56000000000003</v>
      </c>
      <c r="T8" s="229">
        <f>ROUND(Q8*2.26%,0)</f>
        <v>78</v>
      </c>
      <c r="U8" s="229">
        <f t="shared" si="8"/>
        <v>207</v>
      </c>
      <c r="V8" s="229">
        <f t="shared" si="9"/>
        <v>2320.44</v>
      </c>
      <c r="W8" s="229">
        <f t="shared" si="10"/>
        <v>0</v>
      </c>
      <c r="X8" s="229">
        <f>IF(AND(W8-'FICHE SALARIES'!J10*30&gt;0,'FICHE SALARIES'!J10&lt;=6),W8-'FICHE SALARIES'!J10*30,0)</f>
        <v>0</v>
      </c>
      <c r="Y8" s="229">
        <f>'FICHE SALARIES'!W10</f>
        <v>600</v>
      </c>
      <c r="Z8" s="229">
        <f t="shared" si="11"/>
        <v>3110</v>
      </c>
    </row>
    <row r="9" spans="1:26" x14ac:dyDescent="0.2">
      <c r="A9" s="105" t="s">
        <v>152</v>
      </c>
      <c r="B9" s="106" t="str">
        <f>VLOOKUP(A9,'FICHE SALARIES'!A9:C34,2,FALSE)</f>
        <v>ADIL ADIL</v>
      </c>
      <c r="C9" s="111">
        <f>+'FICHE SALARIES'!L11-'FICHE SALARIES'!P11</f>
        <v>198</v>
      </c>
      <c r="D9" s="107">
        <v>191</v>
      </c>
      <c r="E9" s="210">
        <f>VLOOKUP(A9,'FICHE SALARIES'!A9:O34,15,FALSE)</f>
        <v>15.704800000000001</v>
      </c>
      <c r="F9" s="107">
        <f t="shared" si="12"/>
        <v>7</v>
      </c>
      <c r="G9" s="108">
        <f t="shared" si="0"/>
        <v>3000</v>
      </c>
      <c r="H9" s="212">
        <f>VLOOKUP(A9,'FICHE SALARIES'!A9:U34,21,FALSE)</f>
        <v>500</v>
      </c>
      <c r="I9" s="214">
        <f t="shared" si="1"/>
        <v>137</v>
      </c>
      <c r="J9" s="214">
        <f>ROUND('FICHE SALARIES'!R11*'FICHE SALARIES'!O11*150%,0)</f>
        <v>0</v>
      </c>
      <c r="K9" s="214">
        <f>ROUND('FICHE SALARIES'!S11*'FICHE SALARIES'!O11*200%,0)</f>
        <v>0</v>
      </c>
      <c r="L9" s="217">
        <f>ROUND('FICHE SALARIES'!T11*'FICHE SALARIES'!O11,0)</f>
        <v>0</v>
      </c>
      <c r="M9" s="229">
        <f>DATEDIF('FICHE SALARIES'!E11,'FICHE SALARIES'!G11,"m")</f>
        <v>181</v>
      </c>
      <c r="N9" s="232">
        <f t="shared" si="2"/>
        <v>0.15</v>
      </c>
      <c r="O9" s="239">
        <f t="shared" si="3"/>
        <v>471</v>
      </c>
      <c r="P9" s="229">
        <f>'FICHE SALARIES'!V11</f>
        <v>0</v>
      </c>
      <c r="Q9" s="229">
        <f t="shared" si="4"/>
        <v>3608</v>
      </c>
      <c r="R9" s="229">
        <f t="shared" si="5"/>
        <v>721.6</v>
      </c>
      <c r="S9" s="241">
        <f t="shared" si="6"/>
        <v>161.63840000000002</v>
      </c>
      <c r="T9" s="229">
        <f>ROUND(Q9*2.26%,0)</f>
        <v>82</v>
      </c>
      <c r="U9" s="229">
        <f t="shared" si="8"/>
        <v>216</v>
      </c>
      <c r="V9" s="229">
        <f t="shared" si="9"/>
        <v>2426.7616000000003</v>
      </c>
      <c r="W9" s="229">
        <f t="shared" si="10"/>
        <v>0</v>
      </c>
      <c r="X9" s="229">
        <f>IF(AND(W9-'FICHE SALARIES'!J11*30&gt;0,'FICHE SALARIES'!J11&lt;=6),W9-'FICHE SALARIES'!J11*30,0)</f>
        <v>0</v>
      </c>
      <c r="Y9" s="229">
        <f>'FICHE SALARIES'!W11</f>
        <v>600</v>
      </c>
      <c r="Z9" s="229">
        <f t="shared" si="11"/>
        <v>3248</v>
      </c>
    </row>
    <row r="10" spans="1:26" x14ac:dyDescent="0.2">
      <c r="A10" s="105" t="s">
        <v>153</v>
      </c>
      <c r="B10" s="106">
        <f>VLOOKUP(A10,'FICHE SALARIES'!A10:C35,2,FALSE)</f>
        <v>0</v>
      </c>
      <c r="C10" s="111" t="e">
        <f>+'FICHE SALARIES'!#REF!-'FICHE SALARIES'!#REF!</f>
        <v>#REF!</v>
      </c>
      <c r="D10" s="107">
        <v>191</v>
      </c>
      <c r="E10" s="210">
        <f>VLOOKUP(A10,'FICHE SALARIES'!A10:O35,15,FALSE)</f>
        <v>0</v>
      </c>
      <c r="F10" s="107" t="e">
        <f t="shared" ref="F10:F29" si="13">IF(C10-D10&gt;=0,C10-D10,0)</f>
        <v>#REF!</v>
      </c>
      <c r="G10" s="108" t="e">
        <f t="shared" ref="G10:G29" si="14">ROUND(IF(C10-D10&gt;=0,D10*E10,C10*E10),0)</f>
        <v>#REF!</v>
      </c>
      <c r="H10" s="212">
        <f>VLOOKUP(A10,'FICHE SALARIES'!A10:U35,21,FALSE)</f>
        <v>0</v>
      </c>
      <c r="I10" s="214" t="e">
        <f t="shared" si="1"/>
        <v>#REF!</v>
      </c>
      <c r="J10" s="214" t="e">
        <f>ROUND('FICHE SALARIES'!#REF!*'FICHE SALARIES'!#REF!*150%,0)</f>
        <v>#REF!</v>
      </c>
      <c r="K10" s="214" t="e">
        <f>ROUND('FICHE SALARIES'!#REF!*'FICHE SALARIES'!#REF!*200%,0)</f>
        <v>#REF!</v>
      </c>
      <c r="L10" s="217" t="e">
        <f>ROUND('FICHE SALARIES'!#REF!*'FICHE SALARIES'!#REF!,0)</f>
        <v>#REF!</v>
      </c>
      <c r="M10" s="229" t="e">
        <f>DATEDIF('FICHE SALARIES'!#REF!,'FICHE SALARIES'!#REF!,"m")</f>
        <v>#REF!</v>
      </c>
      <c r="N10" s="232" t="e">
        <f t="shared" si="2"/>
        <v>#REF!</v>
      </c>
      <c r="O10" s="239" t="e">
        <f t="shared" si="3"/>
        <v>#REF!</v>
      </c>
      <c r="P10" s="229" t="e">
        <f>'FICHE SALARIES'!#REF!</f>
        <v>#REF!</v>
      </c>
      <c r="Q10" s="229" t="e">
        <f t="shared" si="4"/>
        <v>#REF!</v>
      </c>
      <c r="R10" s="229" t="e">
        <f t="shared" si="5"/>
        <v>#REF!</v>
      </c>
      <c r="S10" s="241" t="e">
        <f t="shared" si="6"/>
        <v>#REF!</v>
      </c>
      <c r="T10" s="229" t="e">
        <f t="shared" ref="T10" si="15">ROUND(Q10*2.26%,0)</f>
        <v>#REF!</v>
      </c>
      <c r="U10" s="229" t="e">
        <f t="shared" si="8"/>
        <v>#REF!</v>
      </c>
      <c r="V10" s="229" t="e">
        <f t="shared" si="9"/>
        <v>#REF!</v>
      </c>
      <c r="W10" s="229" t="e">
        <f t="shared" si="10"/>
        <v>#REF!</v>
      </c>
      <c r="X10" s="229" t="e">
        <f>IF(AND(W10-'FICHE SALARIES'!#REF!*30&gt;0,'FICHE SALARIES'!#REF!&lt;=6),W10-'FICHE SALARIES'!#REF!*30,0)</f>
        <v>#REF!</v>
      </c>
      <c r="Y10" s="229" t="e">
        <f>'FICHE SALARIES'!#REF!</f>
        <v>#REF!</v>
      </c>
      <c r="Z10" s="229" t="e">
        <f t="shared" si="11"/>
        <v>#REF!</v>
      </c>
    </row>
    <row r="11" spans="1:26" x14ac:dyDescent="0.2">
      <c r="A11" s="105" t="s">
        <v>154</v>
      </c>
      <c r="B11" s="106">
        <f>VLOOKUP(A11,'FICHE SALARIES'!A11:C36,2,FALSE)</f>
        <v>0</v>
      </c>
      <c r="C11" s="111" t="e">
        <f>+'FICHE SALARIES'!#REF!-'FICHE SALARIES'!#REF!</f>
        <v>#REF!</v>
      </c>
      <c r="D11" s="107">
        <v>191</v>
      </c>
      <c r="E11" s="210">
        <f>VLOOKUP(A11,'FICHE SALARIES'!A11:O36,15,FALSE)</f>
        <v>0</v>
      </c>
      <c r="F11" s="107" t="e">
        <f t="shared" si="13"/>
        <v>#REF!</v>
      </c>
      <c r="G11" s="108" t="e">
        <f t="shared" si="14"/>
        <v>#REF!</v>
      </c>
      <c r="H11" s="212">
        <f>VLOOKUP(A11,'FICHE SALARIES'!A11:U36,21,FALSE)</f>
        <v>0</v>
      </c>
      <c r="I11" s="214" t="e">
        <f t="shared" si="1"/>
        <v>#REF!</v>
      </c>
      <c r="J11" s="214" t="e">
        <f>ROUND('FICHE SALARIES'!#REF!*'FICHE SALARIES'!#REF!*150%,0)</f>
        <v>#REF!</v>
      </c>
      <c r="K11" s="214" t="e">
        <f>ROUND('FICHE SALARIES'!#REF!*'FICHE SALARIES'!#REF!*200%,0)</f>
        <v>#REF!</v>
      </c>
      <c r="L11" s="217" t="e">
        <f>ROUND('FICHE SALARIES'!#REF!*'FICHE SALARIES'!#REF!,0)</f>
        <v>#REF!</v>
      </c>
      <c r="M11" s="229" t="e">
        <f>DATEDIF('FICHE SALARIES'!#REF!,'FICHE SALARIES'!#REF!,"m")</f>
        <v>#REF!</v>
      </c>
      <c r="N11" s="232" t="e">
        <f t="shared" si="2"/>
        <v>#REF!</v>
      </c>
      <c r="O11" s="239" t="e">
        <f t="shared" si="3"/>
        <v>#REF!</v>
      </c>
      <c r="P11" s="229" t="e">
        <f>'FICHE SALARIES'!#REF!</f>
        <v>#REF!</v>
      </c>
      <c r="Q11" s="229" t="e">
        <f t="shared" si="4"/>
        <v>#REF!</v>
      </c>
      <c r="R11" s="229" t="e">
        <f t="shared" si="5"/>
        <v>#REF!</v>
      </c>
      <c r="S11" s="241" t="e">
        <f t="shared" si="6"/>
        <v>#REF!</v>
      </c>
      <c r="T11" s="229" t="e">
        <f>ROUND(Q11*2.26%,0)</f>
        <v>#REF!</v>
      </c>
      <c r="U11" s="229" t="e">
        <f t="shared" si="8"/>
        <v>#REF!</v>
      </c>
      <c r="V11" s="229" t="e">
        <f t="shared" si="9"/>
        <v>#REF!</v>
      </c>
      <c r="W11" s="229" t="e">
        <f t="shared" si="10"/>
        <v>#REF!</v>
      </c>
      <c r="X11" s="229" t="e">
        <f>IF(AND(W11-'FICHE SALARIES'!#REF!*30&gt;0,'FICHE SALARIES'!#REF!&lt;=6),W11-'FICHE SALARIES'!#REF!*30,0)</f>
        <v>#REF!</v>
      </c>
      <c r="Y11" s="229" t="e">
        <f>'FICHE SALARIES'!#REF!</f>
        <v>#REF!</v>
      </c>
      <c r="Z11" s="229" t="e">
        <f t="shared" si="11"/>
        <v>#REF!</v>
      </c>
    </row>
    <row r="12" spans="1:26" x14ac:dyDescent="0.2">
      <c r="A12" s="105" t="s">
        <v>155</v>
      </c>
      <c r="B12" s="106">
        <f>VLOOKUP(A12,'FICHE SALARIES'!A12:C37,2,FALSE)</f>
        <v>0</v>
      </c>
      <c r="C12" s="111" t="e">
        <f>+'FICHE SALARIES'!#REF!-'FICHE SALARIES'!#REF!</f>
        <v>#REF!</v>
      </c>
      <c r="D12" s="107">
        <v>191</v>
      </c>
      <c r="E12" s="210">
        <f>VLOOKUP(A12,'FICHE SALARIES'!A12:O37,15,FALSE)</f>
        <v>0</v>
      </c>
      <c r="F12" s="107" t="e">
        <f t="shared" si="13"/>
        <v>#REF!</v>
      </c>
      <c r="G12" s="108" t="e">
        <f t="shared" si="14"/>
        <v>#REF!</v>
      </c>
      <c r="H12" s="212">
        <f>VLOOKUP(A12,'FICHE SALARIES'!A12:U37,21,FALSE)</f>
        <v>0</v>
      </c>
      <c r="I12" s="214" t="e">
        <f t="shared" si="1"/>
        <v>#REF!</v>
      </c>
      <c r="J12" s="214" t="e">
        <f>ROUND('FICHE SALARIES'!#REF!*'FICHE SALARIES'!#REF!*150%,0)</f>
        <v>#REF!</v>
      </c>
      <c r="K12" s="214" t="e">
        <f>ROUND('FICHE SALARIES'!#REF!*'FICHE SALARIES'!#REF!*200%,0)</f>
        <v>#REF!</v>
      </c>
      <c r="L12" s="217" t="e">
        <f>ROUND('FICHE SALARIES'!#REF!*'FICHE SALARIES'!#REF!,0)</f>
        <v>#REF!</v>
      </c>
      <c r="M12" s="229" t="e">
        <f>DATEDIF('FICHE SALARIES'!#REF!,'FICHE SALARIES'!#REF!,"m")</f>
        <v>#REF!</v>
      </c>
      <c r="N12" s="232" t="e">
        <f t="shared" si="2"/>
        <v>#REF!</v>
      </c>
      <c r="O12" s="239" t="e">
        <f t="shared" si="3"/>
        <v>#REF!</v>
      </c>
      <c r="P12" s="229" t="e">
        <f>'FICHE SALARIES'!#REF!</f>
        <v>#REF!</v>
      </c>
      <c r="Q12" s="229" t="e">
        <f t="shared" si="4"/>
        <v>#REF!</v>
      </c>
      <c r="R12" s="229" t="e">
        <f t="shared" si="5"/>
        <v>#REF!</v>
      </c>
      <c r="S12" s="241" t="e">
        <f t="shared" si="6"/>
        <v>#REF!</v>
      </c>
      <c r="T12" s="229" t="e">
        <f t="shared" ref="T12" si="16">ROUND(Q12*2.26%,0)</f>
        <v>#REF!</v>
      </c>
      <c r="U12" s="229" t="e">
        <f t="shared" si="8"/>
        <v>#REF!</v>
      </c>
      <c r="V12" s="229" t="e">
        <f t="shared" si="9"/>
        <v>#REF!</v>
      </c>
      <c r="W12" s="229" t="e">
        <f t="shared" si="10"/>
        <v>#REF!</v>
      </c>
      <c r="X12" s="229" t="e">
        <f>IF(AND(W12-'FICHE SALARIES'!#REF!*30&gt;0,'FICHE SALARIES'!#REF!&lt;=6),W12-'FICHE SALARIES'!#REF!*30,0)</f>
        <v>#REF!</v>
      </c>
      <c r="Y12" s="229" t="e">
        <f>'FICHE SALARIES'!#REF!</f>
        <v>#REF!</v>
      </c>
      <c r="Z12" s="229" t="e">
        <f t="shared" si="11"/>
        <v>#REF!</v>
      </c>
    </row>
    <row r="13" spans="1:26" x14ac:dyDescent="0.2">
      <c r="A13" s="105" t="s">
        <v>156</v>
      </c>
      <c r="B13" s="106">
        <f>VLOOKUP(A13,'FICHE SALARIES'!A13:C38,2,FALSE)</f>
        <v>0</v>
      </c>
      <c r="C13" s="111" t="e">
        <f>+'FICHE SALARIES'!#REF!-'FICHE SALARIES'!#REF!</f>
        <v>#REF!</v>
      </c>
      <c r="D13" s="107">
        <v>191</v>
      </c>
      <c r="E13" s="210">
        <f>VLOOKUP(A13,'FICHE SALARIES'!A13:O38,15,FALSE)</f>
        <v>0</v>
      </c>
      <c r="F13" s="107" t="e">
        <f t="shared" si="13"/>
        <v>#REF!</v>
      </c>
      <c r="G13" s="108" t="e">
        <f t="shared" si="14"/>
        <v>#REF!</v>
      </c>
      <c r="H13" s="212">
        <f>VLOOKUP(A13,'FICHE SALARIES'!A13:U38,21,FALSE)</f>
        <v>0</v>
      </c>
      <c r="I13" s="214" t="e">
        <f t="shared" si="1"/>
        <v>#REF!</v>
      </c>
      <c r="J13" s="214" t="e">
        <f>ROUND('FICHE SALARIES'!#REF!*'FICHE SALARIES'!#REF!*150%,0)</f>
        <v>#REF!</v>
      </c>
      <c r="K13" s="214" t="e">
        <f>ROUND('FICHE SALARIES'!#REF!*'FICHE SALARIES'!#REF!*200%,0)</f>
        <v>#REF!</v>
      </c>
      <c r="L13" s="217" t="e">
        <f>ROUND('FICHE SALARIES'!#REF!*'FICHE SALARIES'!#REF!,0)</f>
        <v>#REF!</v>
      </c>
      <c r="M13" s="229" t="e">
        <f>DATEDIF('FICHE SALARIES'!#REF!,'FICHE SALARIES'!#REF!,"m")</f>
        <v>#REF!</v>
      </c>
      <c r="N13" s="232" t="e">
        <f t="shared" si="2"/>
        <v>#REF!</v>
      </c>
      <c r="O13" s="239" t="e">
        <f t="shared" si="3"/>
        <v>#REF!</v>
      </c>
      <c r="P13" s="229" t="e">
        <f>'FICHE SALARIES'!#REF!</f>
        <v>#REF!</v>
      </c>
      <c r="Q13" s="229" t="e">
        <f t="shared" si="4"/>
        <v>#REF!</v>
      </c>
      <c r="R13" s="229" t="e">
        <f t="shared" si="5"/>
        <v>#REF!</v>
      </c>
      <c r="S13" s="241" t="e">
        <f t="shared" si="6"/>
        <v>#REF!</v>
      </c>
      <c r="T13" s="229" t="e">
        <f>ROUND(Q13*2.26%,0)</f>
        <v>#REF!</v>
      </c>
      <c r="U13" s="229" t="e">
        <f t="shared" si="8"/>
        <v>#REF!</v>
      </c>
      <c r="V13" s="229" t="e">
        <f t="shared" si="9"/>
        <v>#REF!</v>
      </c>
      <c r="W13" s="229" t="e">
        <f t="shared" si="10"/>
        <v>#REF!</v>
      </c>
      <c r="X13" s="229" t="e">
        <f>IF(AND(W13-'FICHE SALARIES'!#REF!*30&gt;0,'FICHE SALARIES'!#REF!&lt;=6),W13-'FICHE SALARIES'!#REF!*30,0)</f>
        <v>#REF!</v>
      </c>
      <c r="Y13" s="229" t="e">
        <f>'FICHE SALARIES'!#REF!</f>
        <v>#REF!</v>
      </c>
      <c r="Z13" s="229" t="e">
        <f t="shared" si="11"/>
        <v>#REF!</v>
      </c>
    </row>
    <row r="14" spans="1:26" x14ac:dyDescent="0.2">
      <c r="A14" s="105" t="s">
        <v>198</v>
      </c>
      <c r="B14" s="106">
        <f>VLOOKUP(A14,'FICHE SALARIES'!A14:C39,2,FALSE)</f>
        <v>0</v>
      </c>
      <c r="C14" s="111" t="e">
        <f>+'FICHE SALARIES'!#REF!-'FICHE SALARIES'!#REF!</f>
        <v>#REF!</v>
      </c>
      <c r="D14" s="107">
        <v>191</v>
      </c>
      <c r="E14" s="210">
        <f>VLOOKUP(A14,'FICHE SALARIES'!A14:O39,15,FALSE)</f>
        <v>0</v>
      </c>
      <c r="F14" s="107" t="e">
        <f t="shared" si="13"/>
        <v>#REF!</v>
      </c>
      <c r="G14" s="108" t="e">
        <f t="shared" si="14"/>
        <v>#REF!</v>
      </c>
      <c r="H14" s="212">
        <f>VLOOKUP(A14,'FICHE SALARIES'!A14:U39,21,FALSE)</f>
        <v>0</v>
      </c>
      <c r="I14" s="214" t="e">
        <f t="shared" si="1"/>
        <v>#REF!</v>
      </c>
      <c r="J14" s="214" t="e">
        <f>ROUND('FICHE SALARIES'!#REF!*'FICHE SALARIES'!#REF!*150%,0)</f>
        <v>#REF!</v>
      </c>
      <c r="K14" s="214" t="e">
        <f>ROUND('FICHE SALARIES'!#REF!*'FICHE SALARIES'!#REF!*200%,0)</f>
        <v>#REF!</v>
      </c>
      <c r="L14" s="217" t="e">
        <f>ROUND('FICHE SALARIES'!#REF!*'FICHE SALARIES'!#REF!,0)</f>
        <v>#REF!</v>
      </c>
      <c r="M14" s="229" t="e">
        <f>DATEDIF('FICHE SALARIES'!#REF!,'FICHE SALARIES'!#REF!,"m")</f>
        <v>#REF!</v>
      </c>
      <c r="N14" s="232" t="e">
        <f t="shared" si="2"/>
        <v>#REF!</v>
      </c>
      <c r="O14" s="239" t="e">
        <f t="shared" si="3"/>
        <v>#REF!</v>
      </c>
      <c r="P14" s="229" t="e">
        <f>'FICHE SALARIES'!#REF!</f>
        <v>#REF!</v>
      </c>
      <c r="Q14" s="229" t="e">
        <f t="shared" si="4"/>
        <v>#REF!</v>
      </c>
      <c r="R14" s="229" t="e">
        <f t="shared" si="5"/>
        <v>#REF!</v>
      </c>
      <c r="S14" s="241" t="e">
        <f t="shared" si="6"/>
        <v>#REF!</v>
      </c>
      <c r="T14" s="229" t="e">
        <f t="shared" ref="T14" si="17">ROUND(Q14*2.26%,0)</f>
        <v>#REF!</v>
      </c>
      <c r="U14" s="229" t="e">
        <f t="shared" si="8"/>
        <v>#REF!</v>
      </c>
      <c r="V14" s="229" t="e">
        <f t="shared" si="9"/>
        <v>#REF!</v>
      </c>
      <c r="W14" s="229" t="e">
        <f t="shared" si="10"/>
        <v>#REF!</v>
      </c>
      <c r="X14" s="229" t="e">
        <f>IF(AND(W14-'FICHE SALARIES'!#REF!*30&gt;0,'FICHE SALARIES'!#REF!&lt;=6),W14-'FICHE SALARIES'!#REF!*30,0)</f>
        <v>#REF!</v>
      </c>
      <c r="Y14" s="229" t="e">
        <f>'FICHE SALARIES'!#REF!</f>
        <v>#REF!</v>
      </c>
      <c r="Z14" s="229" t="e">
        <f t="shared" si="11"/>
        <v>#REF!</v>
      </c>
    </row>
    <row r="15" spans="1:26" x14ac:dyDescent="0.2">
      <c r="A15" s="105" t="s">
        <v>199</v>
      </c>
      <c r="B15" s="106">
        <f>VLOOKUP(A15,'FICHE SALARIES'!A15:C40,2,FALSE)</f>
        <v>0</v>
      </c>
      <c r="C15" s="111" t="e">
        <f>+'FICHE SALARIES'!#REF!-'FICHE SALARIES'!#REF!</f>
        <v>#REF!</v>
      </c>
      <c r="D15" s="107">
        <v>191</v>
      </c>
      <c r="E15" s="210">
        <f>VLOOKUP(A15,'FICHE SALARIES'!A15:O40,15,FALSE)</f>
        <v>0</v>
      </c>
      <c r="F15" s="107" t="e">
        <f t="shared" si="13"/>
        <v>#REF!</v>
      </c>
      <c r="G15" s="108" t="e">
        <f t="shared" si="14"/>
        <v>#REF!</v>
      </c>
      <c r="H15" s="212">
        <f>VLOOKUP(A15,'FICHE SALARIES'!A15:U40,21,FALSE)</f>
        <v>0</v>
      </c>
      <c r="I15" s="214" t="e">
        <f t="shared" si="1"/>
        <v>#REF!</v>
      </c>
      <c r="J15" s="214" t="e">
        <f>ROUND('FICHE SALARIES'!#REF!*'FICHE SALARIES'!#REF!*150%,0)</f>
        <v>#REF!</v>
      </c>
      <c r="K15" s="214" t="e">
        <f>ROUND('FICHE SALARIES'!#REF!*'FICHE SALARIES'!#REF!*200%,0)</f>
        <v>#REF!</v>
      </c>
      <c r="L15" s="217" t="e">
        <f>ROUND('FICHE SALARIES'!#REF!*'FICHE SALARIES'!#REF!,0)</f>
        <v>#REF!</v>
      </c>
      <c r="M15" s="229" t="e">
        <f>DATEDIF('FICHE SALARIES'!#REF!,'FICHE SALARIES'!#REF!,"m")</f>
        <v>#REF!</v>
      </c>
      <c r="N15" s="232" t="e">
        <f t="shared" si="2"/>
        <v>#REF!</v>
      </c>
      <c r="O15" s="239" t="e">
        <f t="shared" si="3"/>
        <v>#REF!</v>
      </c>
      <c r="P15" s="229" t="e">
        <f>'FICHE SALARIES'!#REF!</f>
        <v>#REF!</v>
      </c>
      <c r="Q15" s="229" t="e">
        <f t="shared" si="4"/>
        <v>#REF!</v>
      </c>
      <c r="R15" s="229" t="e">
        <f t="shared" si="5"/>
        <v>#REF!</v>
      </c>
      <c r="S15" s="241" t="e">
        <f t="shared" si="6"/>
        <v>#REF!</v>
      </c>
      <c r="T15" s="229" t="e">
        <f>ROUND(Q15*2.26%,0)</f>
        <v>#REF!</v>
      </c>
      <c r="U15" s="229" t="e">
        <f t="shared" si="8"/>
        <v>#REF!</v>
      </c>
      <c r="V15" s="229" t="e">
        <f t="shared" si="9"/>
        <v>#REF!</v>
      </c>
      <c r="W15" s="229" t="e">
        <f t="shared" si="10"/>
        <v>#REF!</v>
      </c>
      <c r="X15" s="229" t="e">
        <f>IF(AND(W15-'FICHE SALARIES'!#REF!*30&gt;0,'FICHE SALARIES'!#REF!&lt;=6),W15-'FICHE SALARIES'!#REF!*30,0)</f>
        <v>#REF!</v>
      </c>
      <c r="Y15" s="229" t="e">
        <f>'FICHE SALARIES'!#REF!</f>
        <v>#REF!</v>
      </c>
      <c r="Z15" s="229" t="e">
        <f t="shared" si="11"/>
        <v>#REF!</v>
      </c>
    </row>
    <row r="16" spans="1:26" x14ac:dyDescent="0.2">
      <c r="A16" s="105" t="s">
        <v>200</v>
      </c>
      <c r="B16" s="106">
        <f>VLOOKUP(A16,'FICHE SALARIES'!A16:C41,2,FALSE)</f>
        <v>0</v>
      </c>
      <c r="C16" s="111" t="e">
        <f>+'FICHE SALARIES'!#REF!-'FICHE SALARIES'!#REF!</f>
        <v>#REF!</v>
      </c>
      <c r="D16" s="107">
        <v>191</v>
      </c>
      <c r="E16" s="210">
        <f>VLOOKUP(A16,'FICHE SALARIES'!A16:O41,15,FALSE)</f>
        <v>0</v>
      </c>
      <c r="F16" s="107" t="e">
        <f t="shared" si="13"/>
        <v>#REF!</v>
      </c>
      <c r="G16" s="108" t="e">
        <f t="shared" si="14"/>
        <v>#REF!</v>
      </c>
      <c r="H16" s="212">
        <f>VLOOKUP(A16,'FICHE SALARIES'!A16:U41,21,FALSE)</f>
        <v>0</v>
      </c>
      <c r="I16" s="214" t="e">
        <f t="shared" si="1"/>
        <v>#REF!</v>
      </c>
      <c r="J16" s="214" t="e">
        <f>ROUND('FICHE SALARIES'!#REF!*'FICHE SALARIES'!#REF!*150%,0)</f>
        <v>#REF!</v>
      </c>
      <c r="K16" s="214" t="e">
        <f>ROUND('FICHE SALARIES'!#REF!*'FICHE SALARIES'!#REF!*200%,0)</f>
        <v>#REF!</v>
      </c>
      <c r="L16" s="217" t="e">
        <f>ROUND('FICHE SALARIES'!#REF!*'FICHE SALARIES'!#REF!,0)</f>
        <v>#REF!</v>
      </c>
      <c r="M16" s="229" t="e">
        <f>DATEDIF('FICHE SALARIES'!#REF!,'FICHE SALARIES'!#REF!,"m")</f>
        <v>#REF!</v>
      </c>
      <c r="N16" s="232" t="e">
        <f t="shared" si="2"/>
        <v>#REF!</v>
      </c>
      <c r="O16" s="239" t="e">
        <f t="shared" si="3"/>
        <v>#REF!</v>
      </c>
      <c r="P16" s="229" t="e">
        <f>'FICHE SALARIES'!#REF!</f>
        <v>#REF!</v>
      </c>
      <c r="Q16" s="229" t="e">
        <f t="shared" si="4"/>
        <v>#REF!</v>
      </c>
      <c r="R16" s="229" t="e">
        <f t="shared" si="5"/>
        <v>#REF!</v>
      </c>
      <c r="S16" s="241" t="e">
        <f t="shared" si="6"/>
        <v>#REF!</v>
      </c>
      <c r="T16" s="229" t="e">
        <f t="shared" ref="T16:T17" si="18">ROUND(Q16*2.26%,0)</f>
        <v>#REF!</v>
      </c>
      <c r="U16" s="229" t="e">
        <f t="shared" si="8"/>
        <v>#REF!</v>
      </c>
      <c r="V16" s="229" t="e">
        <f t="shared" si="9"/>
        <v>#REF!</v>
      </c>
      <c r="W16" s="229" t="e">
        <f t="shared" si="10"/>
        <v>#REF!</v>
      </c>
      <c r="X16" s="229" t="e">
        <f>IF(AND(W16-'FICHE SALARIES'!#REF!*30&gt;0,'FICHE SALARIES'!#REF!&lt;=6),W16-'FICHE SALARIES'!#REF!*30,0)</f>
        <v>#REF!</v>
      </c>
      <c r="Y16" s="229" t="e">
        <f>'FICHE SALARIES'!#REF!</f>
        <v>#REF!</v>
      </c>
      <c r="Z16" s="229" t="e">
        <f t="shared" si="11"/>
        <v>#REF!</v>
      </c>
    </row>
    <row r="17" spans="1:26" x14ac:dyDescent="0.2">
      <c r="A17" s="105" t="s">
        <v>201</v>
      </c>
      <c r="B17" s="106">
        <f>VLOOKUP(A17,'FICHE SALARIES'!A17:C42,2,FALSE)</f>
        <v>0</v>
      </c>
      <c r="C17" s="111" t="e">
        <f>+'FICHE SALARIES'!#REF!-'FICHE SALARIES'!#REF!</f>
        <v>#REF!</v>
      </c>
      <c r="D17" s="107">
        <v>191</v>
      </c>
      <c r="E17" s="210">
        <f>VLOOKUP(A17,'FICHE SALARIES'!A17:O42,15,FALSE)</f>
        <v>0</v>
      </c>
      <c r="F17" s="107" t="e">
        <f t="shared" si="13"/>
        <v>#REF!</v>
      </c>
      <c r="G17" s="108" t="e">
        <f t="shared" si="14"/>
        <v>#REF!</v>
      </c>
      <c r="H17" s="212">
        <f>VLOOKUP(A17,'FICHE SALARIES'!A17:U42,21,FALSE)</f>
        <v>0</v>
      </c>
      <c r="I17" s="214" t="e">
        <f t="shared" si="1"/>
        <v>#REF!</v>
      </c>
      <c r="J17" s="214" t="e">
        <f>ROUND('FICHE SALARIES'!#REF!*'FICHE SALARIES'!#REF!*150%,0)</f>
        <v>#REF!</v>
      </c>
      <c r="K17" s="214" t="e">
        <f>ROUND('FICHE SALARIES'!#REF!*'FICHE SALARIES'!#REF!*200%,0)</f>
        <v>#REF!</v>
      </c>
      <c r="L17" s="217" t="e">
        <f>ROUND('FICHE SALARIES'!#REF!*'FICHE SALARIES'!#REF!,0)</f>
        <v>#REF!</v>
      </c>
      <c r="M17" s="229" t="e">
        <f>DATEDIF('FICHE SALARIES'!#REF!,'FICHE SALARIES'!#REF!,"m")</f>
        <v>#REF!</v>
      </c>
      <c r="N17" s="232" t="e">
        <f t="shared" si="2"/>
        <v>#REF!</v>
      </c>
      <c r="O17" s="239" t="e">
        <f t="shared" si="3"/>
        <v>#REF!</v>
      </c>
      <c r="P17" s="229" t="e">
        <f>'FICHE SALARIES'!#REF!</f>
        <v>#REF!</v>
      </c>
      <c r="Q17" s="229" t="e">
        <f t="shared" si="4"/>
        <v>#REF!</v>
      </c>
      <c r="R17" s="229" t="e">
        <f t="shared" si="5"/>
        <v>#REF!</v>
      </c>
      <c r="S17" s="241" t="e">
        <f t="shared" si="6"/>
        <v>#REF!</v>
      </c>
      <c r="T17" s="229" t="e">
        <f t="shared" si="18"/>
        <v>#REF!</v>
      </c>
      <c r="U17" s="229" t="e">
        <f t="shared" si="8"/>
        <v>#REF!</v>
      </c>
      <c r="V17" s="229" t="e">
        <f t="shared" si="9"/>
        <v>#REF!</v>
      </c>
      <c r="W17" s="229" t="e">
        <f t="shared" si="10"/>
        <v>#REF!</v>
      </c>
      <c r="X17" s="229" t="e">
        <f>IF(AND(W17-'FICHE SALARIES'!#REF!*30&gt;0,'FICHE SALARIES'!#REF!&lt;=6),W17-'FICHE SALARIES'!#REF!*30,0)</f>
        <v>#REF!</v>
      </c>
      <c r="Y17" s="229" t="e">
        <f>'FICHE SALARIES'!#REF!</f>
        <v>#REF!</v>
      </c>
      <c r="Z17" s="229" t="e">
        <f t="shared" si="11"/>
        <v>#REF!</v>
      </c>
    </row>
    <row r="18" spans="1:26" x14ac:dyDescent="0.2">
      <c r="A18" s="105" t="s">
        <v>202</v>
      </c>
      <c r="B18" s="106">
        <f>VLOOKUP(A18,'FICHE SALARIES'!A18:C43,2,FALSE)</f>
        <v>0</v>
      </c>
      <c r="C18" s="111" t="e">
        <f>+'FICHE SALARIES'!#REF!-'FICHE SALARIES'!#REF!</f>
        <v>#REF!</v>
      </c>
      <c r="D18" s="107">
        <v>191</v>
      </c>
      <c r="E18" s="210">
        <f>VLOOKUP(A18,'FICHE SALARIES'!A18:O43,15,FALSE)</f>
        <v>0</v>
      </c>
      <c r="F18" s="107" t="e">
        <f t="shared" si="13"/>
        <v>#REF!</v>
      </c>
      <c r="G18" s="108" t="e">
        <f t="shared" si="14"/>
        <v>#REF!</v>
      </c>
      <c r="H18" s="212">
        <f>VLOOKUP(A18,'FICHE SALARIES'!A18:U43,21,FALSE)</f>
        <v>0</v>
      </c>
      <c r="I18" s="214" t="e">
        <f t="shared" si="1"/>
        <v>#REF!</v>
      </c>
      <c r="J18" s="214" t="e">
        <f>ROUND('FICHE SALARIES'!#REF!*'FICHE SALARIES'!#REF!*150%,0)</f>
        <v>#REF!</v>
      </c>
      <c r="K18" s="214" t="e">
        <f>ROUND('FICHE SALARIES'!#REF!*'FICHE SALARIES'!#REF!*200%,0)</f>
        <v>#REF!</v>
      </c>
      <c r="L18" s="217" t="e">
        <f>ROUND('FICHE SALARIES'!#REF!*'FICHE SALARIES'!#REF!,0)</f>
        <v>#REF!</v>
      </c>
      <c r="M18" s="229" t="e">
        <f>DATEDIF('FICHE SALARIES'!#REF!,'FICHE SALARIES'!#REF!,"m")</f>
        <v>#REF!</v>
      </c>
      <c r="N18" s="232" t="e">
        <f t="shared" si="2"/>
        <v>#REF!</v>
      </c>
      <c r="O18" s="239" t="e">
        <f t="shared" si="3"/>
        <v>#REF!</v>
      </c>
      <c r="P18" s="229" t="e">
        <f>'FICHE SALARIES'!#REF!</f>
        <v>#REF!</v>
      </c>
      <c r="Q18" s="229" t="e">
        <f t="shared" si="4"/>
        <v>#REF!</v>
      </c>
      <c r="R18" s="229" t="e">
        <f t="shared" si="5"/>
        <v>#REF!</v>
      </c>
      <c r="S18" s="241" t="e">
        <f t="shared" si="6"/>
        <v>#REF!</v>
      </c>
      <c r="T18" s="229" t="e">
        <f>ROUND(Q18*2.26%,0)</f>
        <v>#REF!</v>
      </c>
      <c r="U18" s="229" t="e">
        <f t="shared" si="8"/>
        <v>#REF!</v>
      </c>
      <c r="V18" s="229" t="e">
        <f t="shared" si="9"/>
        <v>#REF!</v>
      </c>
      <c r="W18" s="229" t="e">
        <f t="shared" si="10"/>
        <v>#REF!</v>
      </c>
      <c r="X18" s="229" t="e">
        <f>IF(AND(W18-'FICHE SALARIES'!#REF!*30&gt;0,'FICHE SALARIES'!#REF!&lt;=6),W18-'FICHE SALARIES'!#REF!*30,0)</f>
        <v>#REF!</v>
      </c>
      <c r="Y18" s="229" t="e">
        <f>'FICHE SALARIES'!#REF!</f>
        <v>#REF!</v>
      </c>
      <c r="Z18" s="229" t="e">
        <f t="shared" si="11"/>
        <v>#REF!</v>
      </c>
    </row>
    <row r="19" spans="1:26" x14ac:dyDescent="0.2">
      <c r="A19" s="105" t="s">
        <v>203</v>
      </c>
      <c r="B19" s="106">
        <f>VLOOKUP(A19,'FICHE SALARIES'!A19:C44,2,FALSE)</f>
        <v>0</v>
      </c>
      <c r="C19" s="111" t="e">
        <f>+'FICHE SALARIES'!#REF!-'FICHE SALARIES'!#REF!</f>
        <v>#REF!</v>
      </c>
      <c r="D19" s="107">
        <v>191</v>
      </c>
      <c r="E19" s="210">
        <f>VLOOKUP(A19,'FICHE SALARIES'!A19:O44,15,FALSE)</f>
        <v>0</v>
      </c>
      <c r="F19" s="107" t="e">
        <f t="shared" si="13"/>
        <v>#REF!</v>
      </c>
      <c r="G19" s="108" t="e">
        <f t="shared" si="14"/>
        <v>#REF!</v>
      </c>
      <c r="H19" s="212">
        <f>VLOOKUP(A19,'FICHE SALARIES'!A19:U44,21,FALSE)</f>
        <v>0</v>
      </c>
      <c r="I19" s="214" t="e">
        <f t="shared" si="1"/>
        <v>#REF!</v>
      </c>
      <c r="J19" s="214" t="e">
        <f>ROUND('FICHE SALARIES'!#REF!*'FICHE SALARIES'!#REF!*150%,0)</f>
        <v>#REF!</v>
      </c>
      <c r="K19" s="214" t="e">
        <f>ROUND('FICHE SALARIES'!#REF!*'FICHE SALARIES'!#REF!*200%,0)</f>
        <v>#REF!</v>
      </c>
      <c r="L19" s="217" t="e">
        <f>ROUND('FICHE SALARIES'!#REF!*'FICHE SALARIES'!#REF!,0)</f>
        <v>#REF!</v>
      </c>
      <c r="M19" s="229" t="e">
        <f>DATEDIF('FICHE SALARIES'!#REF!,'FICHE SALARIES'!#REF!,"m")</f>
        <v>#REF!</v>
      </c>
      <c r="N19" s="232" t="e">
        <f t="shared" si="2"/>
        <v>#REF!</v>
      </c>
      <c r="O19" s="239" t="e">
        <f t="shared" si="3"/>
        <v>#REF!</v>
      </c>
      <c r="P19" s="229" t="e">
        <f>'FICHE SALARIES'!#REF!</f>
        <v>#REF!</v>
      </c>
      <c r="Q19" s="229" t="e">
        <f t="shared" si="4"/>
        <v>#REF!</v>
      </c>
      <c r="R19" s="229" t="e">
        <f t="shared" si="5"/>
        <v>#REF!</v>
      </c>
      <c r="S19" s="241" t="e">
        <f t="shared" si="6"/>
        <v>#REF!</v>
      </c>
      <c r="T19" s="229" t="e">
        <f>ROUND(Q19*2.26%,0)</f>
        <v>#REF!</v>
      </c>
      <c r="U19" s="229" t="e">
        <f t="shared" si="8"/>
        <v>#REF!</v>
      </c>
      <c r="V19" s="229" t="e">
        <f t="shared" si="9"/>
        <v>#REF!</v>
      </c>
      <c r="W19" s="229" t="e">
        <f t="shared" si="10"/>
        <v>#REF!</v>
      </c>
      <c r="X19" s="229" t="e">
        <f>IF(AND(W19-'FICHE SALARIES'!#REF!*30&gt;0,'FICHE SALARIES'!#REF!&lt;=6),W19-'FICHE SALARIES'!#REF!*30,0)</f>
        <v>#REF!</v>
      </c>
      <c r="Y19" s="229" t="e">
        <f>'FICHE SALARIES'!#REF!</f>
        <v>#REF!</v>
      </c>
      <c r="Z19" s="229" t="e">
        <f t="shared" si="11"/>
        <v>#REF!</v>
      </c>
    </row>
    <row r="20" spans="1:26" x14ac:dyDescent="0.2">
      <c r="A20" s="105" t="s">
        <v>204</v>
      </c>
      <c r="B20" s="106">
        <f>VLOOKUP(A20,'FICHE SALARIES'!A20:C45,2,FALSE)</f>
        <v>0</v>
      </c>
      <c r="C20" s="111" t="e">
        <f>+'FICHE SALARIES'!#REF!-'FICHE SALARIES'!#REF!</f>
        <v>#REF!</v>
      </c>
      <c r="D20" s="107">
        <v>191</v>
      </c>
      <c r="E20" s="210">
        <f>VLOOKUP(A20,'FICHE SALARIES'!A20:O45,15,FALSE)</f>
        <v>0</v>
      </c>
      <c r="F20" s="107" t="e">
        <f t="shared" si="13"/>
        <v>#REF!</v>
      </c>
      <c r="G20" s="108" t="e">
        <f t="shared" si="14"/>
        <v>#REF!</v>
      </c>
      <c r="H20" s="212">
        <f>VLOOKUP(A20,'FICHE SALARIES'!A20:U45,21,FALSE)</f>
        <v>0</v>
      </c>
      <c r="I20" s="214" t="e">
        <f t="shared" si="1"/>
        <v>#REF!</v>
      </c>
      <c r="J20" s="214" t="e">
        <f>ROUND('FICHE SALARIES'!#REF!*'FICHE SALARIES'!#REF!*150%,0)</f>
        <v>#REF!</v>
      </c>
      <c r="K20" s="214" t="e">
        <f>ROUND('FICHE SALARIES'!#REF!*'FICHE SALARIES'!#REF!*200%,0)</f>
        <v>#REF!</v>
      </c>
      <c r="L20" s="217" t="e">
        <f>ROUND('FICHE SALARIES'!#REF!*'FICHE SALARIES'!#REF!,0)</f>
        <v>#REF!</v>
      </c>
      <c r="M20" s="229" t="e">
        <f>DATEDIF('FICHE SALARIES'!#REF!,'FICHE SALARIES'!#REF!,"m")</f>
        <v>#REF!</v>
      </c>
      <c r="N20" s="232" t="e">
        <f t="shared" si="2"/>
        <v>#REF!</v>
      </c>
      <c r="O20" s="239" t="e">
        <f t="shared" si="3"/>
        <v>#REF!</v>
      </c>
      <c r="P20" s="229" t="e">
        <f>'FICHE SALARIES'!#REF!</f>
        <v>#REF!</v>
      </c>
      <c r="Q20" s="229" t="e">
        <f t="shared" si="4"/>
        <v>#REF!</v>
      </c>
      <c r="R20" s="229" t="e">
        <f t="shared" si="5"/>
        <v>#REF!</v>
      </c>
      <c r="S20" s="241" t="e">
        <f t="shared" si="6"/>
        <v>#REF!</v>
      </c>
      <c r="T20" s="229" t="e">
        <f t="shared" ref="T20" si="19">ROUND(Q20*2.26%,0)</f>
        <v>#REF!</v>
      </c>
      <c r="U20" s="229" t="e">
        <f t="shared" si="8"/>
        <v>#REF!</v>
      </c>
      <c r="V20" s="229" t="e">
        <f t="shared" si="9"/>
        <v>#REF!</v>
      </c>
      <c r="W20" s="229" t="e">
        <f t="shared" si="10"/>
        <v>#REF!</v>
      </c>
      <c r="X20" s="229" t="e">
        <f>IF(AND(W20-'FICHE SALARIES'!#REF!*30&gt;0,'FICHE SALARIES'!#REF!&lt;=6),W20-'FICHE SALARIES'!#REF!*30,0)</f>
        <v>#REF!</v>
      </c>
      <c r="Y20" s="229" t="e">
        <f>'FICHE SALARIES'!#REF!</f>
        <v>#REF!</v>
      </c>
      <c r="Z20" s="229" t="e">
        <f t="shared" si="11"/>
        <v>#REF!</v>
      </c>
    </row>
    <row r="21" spans="1:26" x14ac:dyDescent="0.2">
      <c r="A21" s="105" t="s">
        <v>205</v>
      </c>
      <c r="B21" s="106">
        <f>VLOOKUP(A21,'FICHE SALARIES'!A21:C46,2,FALSE)</f>
        <v>0</v>
      </c>
      <c r="C21" s="111" t="e">
        <f>+'FICHE SALARIES'!#REF!-'FICHE SALARIES'!#REF!</f>
        <v>#REF!</v>
      </c>
      <c r="D21" s="107">
        <v>191</v>
      </c>
      <c r="E21" s="210">
        <f>VLOOKUP(A21,'FICHE SALARIES'!A21:O46,15,FALSE)</f>
        <v>0</v>
      </c>
      <c r="F21" s="107" t="e">
        <f t="shared" si="13"/>
        <v>#REF!</v>
      </c>
      <c r="G21" s="108" t="e">
        <f t="shared" si="14"/>
        <v>#REF!</v>
      </c>
      <c r="H21" s="212">
        <f>VLOOKUP(A21,'FICHE SALARIES'!A21:U46,21,FALSE)</f>
        <v>0</v>
      </c>
      <c r="I21" s="214" t="e">
        <f t="shared" si="1"/>
        <v>#REF!</v>
      </c>
      <c r="J21" s="214" t="e">
        <f>ROUND('FICHE SALARIES'!#REF!*'FICHE SALARIES'!#REF!*150%,0)</f>
        <v>#REF!</v>
      </c>
      <c r="K21" s="214" t="e">
        <f>ROUND('FICHE SALARIES'!#REF!*'FICHE SALARIES'!#REF!*200%,0)</f>
        <v>#REF!</v>
      </c>
      <c r="L21" s="217" t="e">
        <f>ROUND('FICHE SALARIES'!#REF!*'FICHE SALARIES'!#REF!,0)</f>
        <v>#REF!</v>
      </c>
      <c r="M21" s="229" t="e">
        <f>DATEDIF('FICHE SALARIES'!#REF!,'FICHE SALARIES'!#REF!,"m")</f>
        <v>#REF!</v>
      </c>
      <c r="N21" s="232" t="e">
        <f t="shared" si="2"/>
        <v>#REF!</v>
      </c>
      <c r="O21" s="239" t="e">
        <f t="shared" si="3"/>
        <v>#REF!</v>
      </c>
      <c r="P21" s="229" t="e">
        <f>'FICHE SALARIES'!#REF!</f>
        <v>#REF!</v>
      </c>
      <c r="Q21" s="229" t="e">
        <f t="shared" si="4"/>
        <v>#REF!</v>
      </c>
      <c r="R21" s="229" t="e">
        <f t="shared" si="5"/>
        <v>#REF!</v>
      </c>
      <c r="S21" s="241" t="e">
        <f t="shared" si="6"/>
        <v>#REF!</v>
      </c>
      <c r="T21" s="229" t="e">
        <f>ROUND(Q21*2.26%,0)</f>
        <v>#REF!</v>
      </c>
      <c r="U21" s="229" t="e">
        <f t="shared" si="8"/>
        <v>#REF!</v>
      </c>
      <c r="V21" s="229" t="e">
        <f t="shared" si="9"/>
        <v>#REF!</v>
      </c>
      <c r="W21" s="229" t="e">
        <f t="shared" si="10"/>
        <v>#REF!</v>
      </c>
      <c r="X21" s="229" t="e">
        <f>IF(AND(W21-'FICHE SALARIES'!#REF!*30&gt;0,'FICHE SALARIES'!#REF!&lt;=6),W21-'FICHE SALARIES'!#REF!*30,0)</f>
        <v>#REF!</v>
      </c>
      <c r="Y21" s="229" t="e">
        <f>'FICHE SALARIES'!#REF!</f>
        <v>#REF!</v>
      </c>
      <c r="Z21" s="229" t="e">
        <f t="shared" si="11"/>
        <v>#REF!</v>
      </c>
    </row>
    <row r="22" spans="1:26" x14ac:dyDescent="0.2">
      <c r="A22" s="105" t="s">
        <v>255</v>
      </c>
      <c r="B22" s="106"/>
      <c r="C22" s="111">
        <f>+'FICHE SALARIES'!L12-'FICHE SALARIES'!P12</f>
        <v>0</v>
      </c>
      <c r="D22" s="107">
        <v>191</v>
      </c>
      <c r="E22" s="210">
        <f>VLOOKUP(A22,'FICHE SALARIES'!A22:O47,15,FALSE)</f>
        <v>0</v>
      </c>
      <c r="F22" s="107">
        <f t="shared" si="13"/>
        <v>0</v>
      </c>
      <c r="G22" s="212">
        <f t="shared" si="14"/>
        <v>0</v>
      </c>
      <c r="H22" s="212">
        <f>VLOOKUP(A22,'FICHE SALARIES'!A22:U47,21,FALSE)</f>
        <v>0</v>
      </c>
      <c r="I22" s="214">
        <f t="shared" si="1"/>
        <v>0</v>
      </c>
      <c r="J22" s="214">
        <f>ROUND('FICHE SALARIES'!R12*'FICHE SALARIES'!O12*150%,0)</f>
        <v>0</v>
      </c>
      <c r="K22" s="214">
        <f>ROUND('FICHE SALARIES'!S12*'FICHE SALARIES'!O12*200%,0)</f>
        <v>0</v>
      </c>
      <c r="L22" s="217">
        <f>ROUND('FICHE SALARIES'!T12*'FICHE SALARIES'!O12,0)</f>
        <v>0</v>
      </c>
      <c r="M22" s="229">
        <f>DATEDIF('FICHE SALARIES'!E12,'FICHE SALARIES'!G12,"m")</f>
        <v>0</v>
      </c>
      <c r="N22" s="232">
        <f t="shared" si="2"/>
        <v>0</v>
      </c>
      <c r="O22" s="239">
        <f t="shared" si="3"/>
        <v>0</v>
      </c>
      <c r="P22" s="229">
        <f>'FICHE SALARIES'!V12</f>
        <v>0</v>
      </c>
      <c r="Q22" s="229">
        <f t="shared" si="4"/>
        <v>0</v>
      </c>
      <c r="R22" s="229">
        <f t="shared" si="5"/>
        <v>0</v>
      </c>
      <c r="S22" s="241">
        <f t="shared" si="6"/>
        <v>0</v>
      </c>
      <c r="T22" s="229">
        <f t="shared" ref="T22:T29" si="20">ROUND(Q22*2%,0)</f>
        <v>0</v>
      </c>
      <c r="U22" s="229">
        <f t="shared" si="8"/>
        <v>0</v>
      </c>
      <c r="V22" s="229">
        <f t="shared" si="9"/>
        <v>0</v>
      </c>
      <c r="W22" s="229">
        <f t="shared" si="10"/>
        <v>0</v>
      </c>
      <c r="X22" s="229">
        <f>IF(AND(W22-'FICHE SALARIES'!J12*30&gt;0,'FICHE SALARIES'!J12&lt;=6),W22-'FICHE SALARIES'!J12*30,0)</f>
        <v>0</v>
      </c>
      <c r="Y22" s="229">
        <f>'FICHE SALARIES'!W12</f>
        <v>0</v>
      </c>
      <c r="Z22" s="229">
        <f t="shared" si="11"/>
        <v>0</v>
      </c>
    </row>
    <row r="23" spans="1:26" x14ac:dyDescent="0.2">
      <c r="A23" s="105" t="s">
        <v>256</v>
      </c>
      <c r="B23" s="106"/>
      <c r="C23" s="111">
        <f>+'FICHE SALARIES'!L13-'FICHE SALARIES'!P13</f>
        <v>0</v>
      </c>
      <c r="D23" s="107">
        <v>191</v>
      </c>
      <c r="E23" s="210">
        <f>VLOOKUP(A23,'FICHE SALARIES'!A23:O48,15,FALSE)</f>
        <v>0</v>
      </c>
      <c r="F23" s="107">
        <f t="shared" si="13"/>
        <v>0</v>
      </c>
      <c r="G23" s="212">
        <f t="shared" si="14"/>
        <v>0</v>
      </c>
      <c r="H23" s="212">
        <f>VLOOKUP(A23,'FICHE SALARIES'!A23:U48,21,FALSE)</f>
        <v>0</v>
      </c>
      <c r="I23" s="214">
        <f t="shared" si="1"/>
        <v>0</v>
      </c>
      <c r="J23" s="214">
        <f>ROUND('FICHE SALARIES'!R13*'FICHE SALARIES'!O13*150%,0)</f>
        <v>0</v>
      </c>
      <c r="K23" s="214">
        <f>ROUND('FICHE SALARIES'!S13*'FICHE SALARIES'!O13*200%,0)</f>
        <v>0</v>
      </c>
      <c r="L23" s="217">
        <f>ROUND('FICHE SALARIES'!T13*'FICHE SALARIES'!O13,0)</f>
        <v>0</v>
      </c>
      <c r="M23" s="229">
        <f>DATEDIF('FICHE SALARIES'!E13,'FICHE SALARIES'!G13,"m")</f>
        <v>0</v>
      </c>
      <c r="N23" s="232">
        <f t="shared" si="2"/>
        <v>0</v>
      </c>
      <c r="O23" s="239">
        <f t="shared" si="3"/>
        <v>0</v>
      </c>
      <c r="P23" s="229">
        <f>'FICHE SALARIES'!V13</f>
        <v>0</v>
      </c>
      <c r="Q23" s="229">
        <f t="shared" si="4"/>
        <v>0</v>
      </c>
      <c r="R23" s="229">
        <f t="shared" si="5"/>
        <v>0</v>
      </c>
      <c r="S23" s="241">
        <f t="shared" si="6"/>
        <v>0</v>
      </c>
      <c r="T23" s="229">
        <f t="shared" si="20"/>
        <v>0</v>
      </c>
      <c r="U23" s="229">
        <f t="shared" si="8"/>
        <v>0</v>
      </c>
      <c r="V23" s="229">
        <f t="shared" si="9"/>
        <v>0</v>
      </c>
      <c r="W23" s="229">
        <f t="shared" si="10"/>
        <v>0</v>
      </c>
      <c r="X23" s="229">
        <f>IF(AND(W23-'FICHE SALARIES'!J13*30&gt;0,'FICHE SALARIES'!J13&lt;=6),W23-'FICHE SALARIES'!J13*30,0)</f>
        <v>0</v>
      </c>
      <c r="Y23" s="229">
        <f>'FICHE SALARIES'!W13</f>
        <v>0</v>
      </c>
      <c r="Z23" s="229">
        <f t="shared" si="11"/>
        <v>0</v>
      </c>
    </row>
    <row r="24" spans="1:26" x14ac:dyDescent="0.2">
      <c r="A24" s="105" t="s">
        <v>257</v>
      </c>
      <c r="B24" s="106"/>
      <c r="C24" s="111">
        <f>+'FICHE SALARIES'!L14-'FICHE SALARIES'!P14</f>
        <v>0</v>
      </c>
      <c r="D24" s="107">
        <v>191</v>
      </c>
      <c r="E24" s="210">
        <f>VLOOKUP(A24,'FICHE SALARIES'!A24:O49,15,FALSE)</f>
        <v>0</v>
      </c>
      <c r="F24" s="107">
        <f t="shared" si="13"/>
        <v>0</v>
      </c>
      <c r="G24" s="212">
        <f t="shared" si="14"/>
        <v>0</v>
      </c>
      <c r="H24" s="212">
        <f>VLOOKUP(A24,'FICHE SALARIES'!A24:U49,21,FALSE)</f>
        <v>0</v>
      </c>
      <c r="I24" s="214">
        <f t="shared" si="1"/>
        <v>0</v>
      </c>
      <c r="J24" s="214">
        <f>ROUND('FICHE SALARIES'!R14*'FICHE SALARIES'!O14*150%,0)</f>
        <v>0</v>
      </c>
      <c r="K24" s="214">
        <f>ROUND('FICHE SALARIES'!S14*'FICHE SALARIES'!O14*200%,0)</f>
        <v>0</v>
      </c>
      <c r="L24" s="217">
        <f>ROUND('FICHE SALARIES'!T14*'FICHE SALARIES'!O14,0)</f>
        <v>0</v>
      </c>
      <c r="M24" s="229">
        <f>DATEDIF('FICHE SALARIES'!E14,'FICHE SALARIES'!G14,"m")</f>
        <v>0</v>
      </c>
      <c r="N24" s="232">
        <f t="shared" si="2"/>
        <v>0</v>
      </c>
      <c r="O24" s="239">
        <f t="shared" si="3"/>
        <v>0</v>
      </c>
      <c r="P24" s="229">
        <f>'FICHE SALARIES'!V14</f>
        <v>0</v>
      </c>
      <c r="Q24" s="229">
        <f t="shared" si="4"/>
        <v>0</v>
      </c>
      <c r="R24" s="229">
        <f t="shared" si="5"/>
        <v>0</v>
      </c>
      <c r="S24" s="241">
        <f t="shared" si="6"/>
        <v>0</v>
      </c>
      <c r="T24" s="229">
        <f t="shared" si="20"/>
        <v>0</v>
      </c>
      <c r="U24" s="229">
        <f t="shared" si="8"/>
        <v>0</v>
      </c>
      <c r="V24" s="229">
        <f t="shared" si="9"/>
        <v>0</v>
      </c>
      <c r="W24" s="229">
        <f t="shared" si="10"/>
        <v>0</v>
      </c>
      <c r="X24" s="229">
        <f>IF(AND(W24-'FICHE SALARIES'!J14*30&gt;0,'FICHE SALARIES'!J14&lt;=6),W24-'FICHE SALARIES'!J14*30,0)</f>
        <v>0</v>
      </c>
      <c r="Y24" s="229">
        <f>'FICHE SALARIES'!W14</f>
        <v>0</v>
      </c>
      <c r="Z24" s="229">
        <f t="shared" si="11"/>
        <v>0</v>
      </c>
    </row>
    <row r="25" spans="1:26" x14ac:dyDescent="0.2">
      <c r="A25" s="105" t="s">
        <v>258</v>
      </c>
      <c r="B25" s="106"/>
      <c r="C25" s="111">
        <f>+'FICHE SALARIES'!L15-'FICHE SALARIES'!P15</f>
        <v>0</v>
      </c>
      <c r="D25" s="107">
        <v>191</v>
      </c>
      <c r="E25" s="210">
        <f>VLOOKUP(A25,'FICHE SALARIES'!A25:O50,15,FALSE)</f>
        <v>0</v>
      </c>
      <c r="F25" s="107">
        <f t="shared" si="13"/>
        <v>0</v>
      </c>
      <c r="G25" s="212">
        <f t="shared" si="14"/>
        <v>0</v>
      </c>
      <c r="H25" s="212">
        <f>VLOOKUP(A25,'FICHE SALARIES'!A25:U50,21,FALSE)</f>
        <v>0</v>
      </c>
      <c r="I25" s="214">
        <f t="shared" si="1"/>
        <v>0</v>
      </c>
      <c r="J25" s="214">
        <f>ROUND('FICHE SALARIES'!R15*'FICHE SALARIES'!O15*150%,0)</f>
        <v>0</v>
      </c>
      <c r="K25" s="214">
        <f>ROUND('FICHE SALARIES'!S15*'FICHE SALARIES'!O15*200%,0)</f>
        <v>0</v>
      </c>
      <c r="L25" s="217">
        <f>ROUND('FICHE SALARIES'!T15*'FICHE SALARIES'!O15,0)</f>
        <v>0</v>
      </c>
      <c r="M25" s="229">
        <f>DATEDIF('FICHE SALARIES'!E15,'FICHE SALARIES'!G15,"m")</f>
        <v>0</v>
      </c>
      <c r="N25" s="232">
        <f t="shared" si="2"/>
        <v>0</v>
      </c>
      <c r="O25" s="239">
        <f t="shared" si="3"/>
        <v>0</v>
      </c>
      <c r="P25" s="229">
        <f>'FICHE SALARIES'!V15</f>
        <v>0</v>
      </c>
      <c r="Q25" s="229">
        <f t="shared" si="4"/>
        <v>0</v>
      </c>
      <c r="R25" s="229">
        <f t="shared" si="5"/>
        <v>0</v>
      </c>
      <c r="S25" s="241">
        <f t="shared" si="6"/>
        <v>0</v>
      </c>
      <c r="T25" s="229">
        <f t="shared" si="20"/>
        <v>0</v>
      </c>
      <c r="U25" s="229">
        <f t="shared" si="8"/>
        <v>0</v>
      </c>
      <c r="V25" s="229">
        <f t="shared" si="9"/>
        <v>0</v>
      </c>
      <c r="W25" s="229">
        <f t="shared" si="10"/>
        <v>0</v>
      </c>
      <c r="X25" s="229">
        <f>IF(AND(W25-'FICHE SALARIES'!J15*30&gt;0,'FICHE SALARIES'!J15&lt;=6),W25-'FICHE SALARIES'!J15*30,0)</f>
        <v>0</v>
      </c>
      <c r="Y25" s="229">
        <f>'FICHE SALARIES'!W15</f>
        <v>0</v>
      </c>
      <c r="Z25" s="229">
        <f t="shared" si="11"/>
        <v>0</v>
      </c>
    </row>
    <row r="26" spans="1:26" x14ac:dyDescent="0.2">
      <c r="A26" s="105" t="s">
        <v>259</v>
      </c>
      <c r="B26" s="274"/>
      <c r="C26" s="111">
        <f>+'FICHE SALARIES'!L16-'FICHE SALARIES'!P16</f>
        <v>0</v>
      </c>
      <c r="D26" s="107">
        <v>191</v>
      </c>
      <c r="E26" s="210">
        <f>VLOOKUP(A26,'FICHE SALARIES'!A26:O51,15,FALSE)</f>
        <v>0</v>
      </c>
      <c r="F26" s="107">
        <f t="shared" si="13"/>
        <v>0</v>
      </c>
      <c r="G26" s="212">
        <f t="shared" si="14"/>
        <v>0</v>
      </c>
      <c r="H26" s="212">
        <f>VLOOKUP(A26,'FICHE SALARIES'!A26:U51,21,FALSE)</f>
        <v>0</v>
      </c>
      <c r="I26" s="214">
        <f t="shared" si="1"/>
        <v>0</v>
      </c>
      <c r="J26" s="214">
        <f>ROUND('FICHE SALARIES'!R16*'FICHE SALARIES'!O16*150%,0)</f>
        <v>0</v>
      </c>
      <c r="K26" s="214">
        <f>ROUND('FICHE SALARIES'!S16*'FICHE SALARIES'!O16*200%,0)</f>
        <v>0</v>
      </c>
      <c r="L26" s="217">
        <f>ROUND('FICHE SALARIES'!T16*'FICHE SALARIES'!O16,0)</f>
        <v>0</v>
      </c>
      <c r="M26" s="229">
        <f>DATEDIF('FICHE SALARIES'!E16,'FICHE SALARIES'!G16,"m")</f>
        <v>0</v>
      </c>
      <c r="N26" s="232">
        <f t="shared" si="2"/>
        <v>0</v>
      </c>
      <c r="O26" s="239">
        <f t="shared" si="3"/>
        <v>0</v>
      </c>
      <c r="P26" s="229">
        <f>'FICHE SALARIES'!V16</f>
        <v>0</v>
      </c>
      <c r="Q26" s="229">
        <f t="shared" si="4"/>
        <v>0</v>
      </c>
      <c r="R26" s="229">
        <f t="shared" si="5"/>
        <v>0</v>
      </c>
      <c r="S26" s="241">
        <f t="shared" si="6"/>
        <v>0</v>
      </c>
      <c r="T26" s="229">
        <f t="shared" si="20"/>
        <v>0</v>
      </c>
      <c r="U26" s="229">
        <f t="shared" si="8"/>
        <v>0</v>
      </c>
      <c r="V26" s="229">
        <f t="shared" si="9"/>
        <v>0</v>
      </c>
      <c r="W26" s="229">
        <f t="shared" si="10"/>
        <v>0</v>
      </c>
      <c r="X26" s="229">
        <f>IF(AND(W26-'FICHE SALARIES'!J16*30&gt;0,'FICHE SALARIES'!J16&lt;=6),W26-'FICHE SALARIES'!J16*30,0)</f>
        <v>0</v>
      </c>
      <c r="Y26" s="229">
        <f>'FICHE SALARIES'!W16</f>
        <v>0</v>
      </c>
      <c r="Z26" s="229">
        <f t="shared" si="11"/>
        <v>0</v>
      </c>
    </row>
    <row r="27" spans="1:26" x14ac:dyDescent="0.2">
      <c r="A27" s="105" t="s">
        <v>260</v>
      </c>
      <c r="B27" s="274"/>
      <c r="C27" s="111">
        <f>+'FICHE SALARIES'!L17-'FICHE SALARIES'!P17</f>
        <v>0</v>
      </c>
      <c r="D27" s="107">
        <v>191</v>
      </c>
      <c r="E27" s="210">
        <f>VLOOKUP(A27,'FICHE SALARIES'!A27:O52,15,FALSE)</f>
        <v>0</v>
      </c>
      <c r="F27" s="107">
        <f t="shared" si="13"/>
        <v>0</v>
      </c>
      <c r="G27" s="212">
        <f t="shared" si="14"/>
        <v>0</v>
      </c>
      <c r="H27" s="212">
        <f>VLOOKUP(A27,'FICHE SALARIES'!A27:U52,21,FALSE)</f>
        <v>0</v>
      </c>
      <c r="I27" s="214">
        <f t="shared" si="1"/>
        <v>0</v>
      </c>
      <c r="J27" s="214">
        <f>ROUND('FICHE SALARIES'!R17*'FICHE SALARIES'!O17*150%,0)</f>
        <v>0</v>
      </c>
      <c r="K27" s="214">
        <f>ROUND('FICHE SALARIES'!S17*'FICHE SALARIES'!O17*200%,0)</f>
        <v>0</v>
      </c>
      <c r="L27" s="217">
        <f>ROUND('FICHE SALARIES'!T17*'FICHE SALARIES'!O17,0)</f>
        <v>0</v>
      </c>
      <c r="M27" s="229">
        <f>DATEDIF('FICHE SALARIES'!E17,'FICHE SALARIES'!G17,"m")</f>
        <v>0</v>
      </c>
      <c r="N27" s="232">
        <f t="shared" si="2"/>
        <v>0</v>
      </c>
      <c r="O27" s="239">
        <f t="shared" si="3"/>
        <v>0</v>
      </c>
      <c r="P27" s="229">
        <f>'FICHE SALARIES'!V17</f>
        <v>0</v>
      </c>
      <c r="Q27" s="229">
        <f t="shared" si="4"/>
        <v>0</v>
      </c>
      <c r="R27" s="229">
        <f t="shared" si="5"/>
        <v>0</v>
      </c>
      <c r="S27" s="241">
        <f t="shared" si="6"/>
        <v>0</v>
      </c>
      <c r="T27" s="229">
        <f t="shared" si="20"/>
        <v>0</v>
      </c>
      <c r="U27" s="229">
        <f t="shared" si="8"/>
        <v>0</v>
      </c>
      <c r="V27" s="229">
        <f t="shared" si="9"/>
        <v>0</v>
      </c>
      <c r="W27" s="229">
        <f t="shared" si="10"/>
        <v>0</v>
      </c>
      <c r="X27" s="229">
        <f>IF(AND(W27-'FICHE SALARIES'!J17*30&gt;0,'FICHE SALARIES'!J17&lt;=6),W27-'FICHE SALARIES'!J17*30,0)</f>
        <v>0</v>
      </c>
      <c r="Y27" s="229">
        <f>'FICHE SALARIES'!W17</f>
        <v>0</v>
      </c>
      <c r="Z27" s="229">
        <f t="shared" si="11"/>
        <v>0</v>
      </c>
    </row>
    <row r="28" spans="1:26" x14ac:dyDescent="0.2">
      <c r="A28" s="105" t="s">
        <v>261</v>
      </c>
      <c r="B28" s="274"/>
      <c r="C28" s="111">
        <f>+'FICHE SALARIES'!L18-'FICHE SALARIES'!P18</f>
        <v>0</v>
      </c>
      <c r="D28" s="107">
        <v>191</v>
      </c>
      <c r="E28" s="210">
        <f>VLOOKUP(A28,'FICHE SALARIES'!A28:O53,15,FALSE)</f>
        <v>0</v>
      </c>
      <c r="F28" s="107">
        <f t="shared" si="13"/>
        <v>0</v>
      </c>
      <c r="G28" s="212">
        <f t="shared" si="14"/>
        <v>0</v>
      </c>
      <c r="H28" s="212">
        <f>VLOOKUP(A28,'FICHE SALARIES'!A28:U53,21,FALSE)</f>
        <v>0</v>
      </c>
      <c r="I28" s="214">
        <f t="shared" si="1"/>
        <v>0</v>
      </c>
      <c r="J28" s="214">
        <f>ROUND('FICHE SALARIES'!R18*'FICHE SALARIES'!O18*150%,0)</f>
        <v>0</v>
      </c>
      <c r="K28" s="214">
        <f>ROUND('FICHE SALARIES'!S18*'FICHE SALARIES'!O18*200%,0)</f>
        <v>0</v>
      </c>
      <c r="L28" s="217">
        <f>ROUND('FICHE SALARIES'!T18*'FICHE SALARIES'!O18,0)</f>
        <v>0</v>
      </c>
      <c r="M28" s="229">
        <f>DATEDIF('FICHE SALARIES'!E18,'FICHE SALARIES'!G18,"m")</f>
        <v>0</v>
      </c>
      <c r="N28" s="232">
        <f t="shared" si="2"/>
        <v>0</v>
      </c>
      <c r="O28" s="239">
        <f t="shared" si="3"/>
        <v>0</v>
      </c>
      <c r="P28" s="229">
        <f>'FICHE SALARIES'!V18</f>
        <v>0</v>
      </c>
      <c r="Q28" s="229">
        <f t="shared" si="4"/>
        <v>0</v>
      </c>
      <c r="R28" s="229">
        <f t="shared" si="5"/>
        <v>0</v>
      </c>
      <c r="S28" s="241">
        <f t="shared" si="6"/>
        <v>0</v>
      </c>
      <c r="T28" s="229">
        <f t="shared" si="20"/>
        <v>0</v>
      </c>
      <c r="U28" s="229">
        <f t="shared" si="8"/>
        <v>0</v>
      </c>
      <c r="V28" s="229">
        <f t="shared" si="9"/>
        <v>0</v>
      </c>
      <c r="W28" s="229">
        <f t="shared" si="10"/>
        <v>0</v>
      </c>
      <c r="X28" s="229">
        <f>IF(AND(W28-'FICHE SALARIES'!J18*30&gt;0,'FICHE SALARIES'!J18&lt;=6),W28-'FICHE SALARIES'!J18*30,0)</f>
        <v>0</v>
      </c>
      <c r="Y28" s="229">
        <f>'FICHE SALARIES'!W18</f>
        <v>0</v>
      </c>
      <c r="Z28" s="229">
        <f t="shared" si="11"/>
        <v>0</v>
      </c>
    </row>
    <row r="29" spans="1:26" ht="15.75" thickBot="1" x14ac:dyDescent="0.25">
      <c r="A29" s="204" t="s">
        <v>262</v>
      </c>
      <c r="B29" s="272"/>
      <c r="C29" s="205">
        <f>+'FICHE SALARIES'!L19-'FICHE SALARIES'!P19</f>
        <v>0</v>
      </c>
      <c r="D29" s="206">
        <v>191</v>
      </c>
      <c r="E29" s="211">
        <f>VLOOKUP(A29,'FICHE SALARIES'!A29:O54,15,FALSE)</f>
        <v>0</v>
      </c>
      <c r="F29" s="206">
        <f t="shared" si="13"/>
        <v>0</v>
      </c>
      <c r="G29" s="213">
        <f t="shared" si="14"/>
        <v>0</v>
      </c>
      <c r="H29" s="213">
        <f>VLOOKUP(A29,'FICHE SALARIES'!A29:U54,21,FALSE)</f>
        <v>0</v>
      </c>
      <c r="I29" s="215">
        <f t="shared" si="1"/>
        <v>0</v>
      </c>
      <c r="J29" s="215">
        <f>ROUND('FICHE SALARIES'!R19*'FICHE SALARIES'!O19*150%,0)</f>
        <v>0</v>
      </c>
      <c r="K29" s="215">
        <f>ROUND('FICHE SALARIES'!S19*'FICHE SALARIES'!O19*200%,0)</f>
        <v>0</v>
      </c>
      <c r="L29" s="218">
        <f>ROUND('FICHE SALARIES'!T19*'FICHE SALARIES'!O19,0)</f>
        <v>0</v>
      </c>
      <c r="M29" s="219">
        <f>DATEDIF('FICHE SALARIES'!E19,'FICHE SALARIES'!G19,"m")</f>
        <v>0</v>
      </c>
      <c r="N29" s="234">
        <f t="shared" si="2"/>
        <v>0</v>
      </c>
      <c r="O29" s="240">
        <f t="shared" si="3"/>
        <v>0</v>
      </c>
      <c r="P29" s="219">
        <f>'FICHE SALARIES'!V19</f>
        <v>0</v>
      </c>
      <c r="Q29" s="219">
        <f t="shared" si="4"/>
        <v>0</v>
      </c>
      <c r="R29" s="219">
        <f t="shared" si="5"/>
        <v>0</v>
      </c>
      <c r="S29" s="242">
        <f t="shared" si="6"/>
        <v>0</v>
      </c>
      <c r="T29" s="219">
        <f t="shared" si="20"/>
        <v>0</v>
      </c>
      <c r="U29" s="219">
        <f t="shared" si="8"/>
        <v>0</v>
      </c>
      <c r="V29" s="219">
        <f t="shared" si="9"/>
        <v>0</v>
      </c>
      <c r="W29" s="219">
        <f t="shared" si="10"/>
        <v>0</v>
      </c>
      <c r="X29" s="219">
        <f>IF(AND(W29-'FICHE SALARIES'!J19*30&gt;0,'FICHE SALARIES'!J19&lt;=6),W29-'FICHE SALARIES'!J19*30,0)</f>
        <v>0</v>
      </c>
      <c r="Y29" s="219">
        <f>'FICHE SALARIES'!W19</f>
        <v>0</v>
      </c>
      <c r="Z29" s="219">
        <f t="shared" si="11"/>
        <v>0</v>
      </c>
    </row>
    <row r="30" spans="1:26" x14ac:dyDescent="0.2">
      <c r="A30" s="273"/>
    </row>
    <row r="31" spans="1:26" ht="15.75" thickBot="1" x14ac:dyDescent="0.25">
      <c r="A31" s="273"/>
    </row>
    <row r="32" spans="1:26" ht="21.75" thickBot="1" x14ac:dyDescent="0.35">
      <c r="B32" s="271" t="s">
        <v>269</v>
      </c>
      <c r="C32" s="271"/>
      <c r="D32" s="271"/>
      <c r="E32" s="271"/>
      <c r="F32" s="271"/>
      <c r="G32" s="271"/>
      <c r="H32" s="270"/>
      <c r="J32" s="245" t="s">
        <v>252</v>
      </c>
      <c r="K32" s="246"/>
      <c r="L32" s="246"/>
      <c r="M32" s="246"/>
      <c r="N32" s="247"/>
    </row>
    <row r="33" spans="2:15" ht="19.5" thickBot="1" x14ac:dyDescent="0.3">
      <c r="B33" s="271" t="s">
        <v>270</v>
      </c>
      <c r="C33" s="271"/>
      <c r="D33" s="271"/>
      <c r="E33" s="271"/>
      <c r="F33" s="271"/>
      <c r="G33" s="271"/>
      <c r="H33" s="270"/>
    </row>
    <row r="34" spans="2:15" ht="21.75" thickBot="1" x14ac:dyDescent="0.35">
      <c r="J34" s="261" t="s">
        <v>253</v>
      </c>
      <c r="K34" s="245"/>
      <c r="L34" s="245"/>
      <c r="M34" s="245"/>
      <c r="N34" s="245"/>
      <c r="O34" s="244"/>
    </row>
  </sheetData>
  <sheetProtection formatCells="0" formatColumns="0" formatRows="0" insertColumns="0" deleteColumns="0" deleteRows="0"/>
  <mergeCells count="1">
    <mergeCell ref="I3:K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4:X40"/>
  <sheetViews>
    <sheetView topLeftCell="A2" workbookViewId="0">
      <selection activeCell="G14" sqref="G14"/>
    </sheetView>
  </sheetViews>
  <sheetFormatPr defaultColWidth="11.43359375" defaultRowHeight="15" x14ac:dyDescent="0.2"/>
  <cols>
    <col min="1" max="1" width="20.58203125" style="24" customWidth="1"/>
    <col min="2" max="2" width="11.1640625" style="24" customWidth="1"/>
    <col min="3" max="3" width="17.3515625" style="24" customWidth="1"/>
    <col min="4" max="4" width="9.01171875" style="24" customWidth="1"/>
    <col min="5" max="5" width="10.4921875" style="24" customWidth="1"/>
    <col min="6" max="6" width="17.484375" style="24" customWidth="1"/>
    <col min="7" max="16384" width="11.43359375" style="24"/>
  </cols>
  <sheetData>
    <row r="4" spans="1:24" x14ac:dyDescent="0.2">
      <c r="A4" s="184" t="s">
        <v>180</v>
      </c>
      <c r="B4" s="185" t="str">
        <f>SOMMAIRE!C5</f>
        <v>XXXXXX</v>
      </c>
    </row>
    <row r="5" spans="1:24" ht="18" x14ac:dyDescent="0.2">
      <c r="A5" s="184" t="s">
        <v>181</v>
      </c>
      <c r="B5" s="189" t="str">
        <f>SOMMAIRE!C21</f>
        <v>000000</v>
      </c>
      <c r="C5" s="149"/>
      <c r="D5" s="407" t="s">
        <v>158</v>
      </c>
      <c r="E5" s="407"/>
      <c r="F5" s="407"/>
    </row>
    <row r="6" spans="1:24" x14ac:dyDescent="0.2">
      <c r="A6" s="184" t="s">
        <v>182</v>
      </c>
      <c r="B6" s="189" t="str">
        <f>SOMMAIRE!C16</f>
        <v>xxxxxxxxxxxxxx</v>
      </c>
      <c r="C6" s="149"/>
      <c r="D6" s="150" t="s">
        <v>159</v>
      </c>
      <c r="E6" s="151">
        <v>0</v>
      </c>
      <c r="F6" s="152"/>
    </row>
    <row r="7" spans="1:24" x14ac:dyDescent="0.2">
      <c r="A7" s="184" t="s">
        <v>184</v>
      </c>
      <c r="B7" s="189" t="str">
        <f>SOMMAIRE!C31</f>
        <v>XXXXXX</v>
      </c>
      <c r="C7" s="149"/>
      <c r="D7" s="150" t="s">
        <v>160</v>
      </c>
      <c r="E7" s="150">
        <f>ROUNDUP((E6-A12)/365,0)</f>
        <v>-112</v>
      </c>
      <c r="F7" s="152"/>
    </row>
    <row r="8" spans="1:24" ht="15.75" thickBot="1" x14ac:dyDescent="0.25">
      <c r="A8" s="148"/>
      <c r="B8" s="263"/>
      <c r="C8" s="263"/>
      <c r="D8" s="148"/>
      <c r="E8" s="148"/>
      <c r="F8" s="148"/>
    </row>
    <row r="9" spans="1:24" ht="15.75" thickTop="1" x14ac:dyDescent="0.2">
      <c r="A9" s="186" t="s">
        <v>161</v>
      </c>
      <c r="B9" s="264" t="s">
        <v>185</v>
      </c>
      <c r="C9" s="264"/>
      <c r="D9" s="408" t="s">
        <v>147</v>
      </c>
      <c r="E9" s="408"/>
      <c r="F9" s="153" t="s">
        <v>232</v>
      </c>
    </row>
    <row r="10" spans="1:24" ht="15.75" thickBot="1" x14ac:dyDescent="0.25">
      <c r="A10" s="187" t="str">
        <f>VLOOKUP(D10,'CALCUL SB &amp; HS'!A3:B21,2,FALSE)</f>
        <v>SALMI AMIN</v>
      </c>
      <c r="B10" s="265" t="str">
        <f>VLOOKUP(D10,'FICHE SALARIES'!A5:C23,3,FALSE)</f>
        <v>Technicien</v>
      </c>
      <c r="C10" s="266"/>
      <c r="D10" s="409" t="s">
        <v>148</v>
      </c>
      <c r="E10" s="409"/>
      <c r="F10" s="154" t="str">
        <f>VLOOKUP(D10,'FICHE SALARIES'!A5:D23,4,FALSE)</f>
        <v>CDD</v>
      </c>
      <c r="I10" s="231"/>
    </row>
    <row r="11" spans="1:24" ht="21.75" thickBot="1" x14ac:dyDescent="0.35">
      <c r="A11" s="155" t="s">
        <v>162</v>
      </c>
      <c r="B11" s="156" t="s">
        <v>163</v>
      </c>
      <c r="C11" s="156" t="s">
        <v>164</v>
      </c>
      <c r="D11" s="156" t="s">
        <v>165</v>
      </c>
      <c r="E11" s="156" t="s">
        <v>166</v>
      </c>
      <c r="F11" s="157" t="s">
        <v>167</v>
      </c>
      <c r="H11" s="380" t="s">
        <v>252</v>
      </c>
      <c r="I11" s="381"/>
      <c r="J11" s="381"/>
      <c r="K11" s="381"/>
      <c r="L11" s="382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</row>
    <row r="12" spans="1:24" ht="15.75" thickBot="1" x14ac:dyDescent="0.25">
      <c r="A12" s="158">
        <f>VLOOKUP(D10,'FICHE SALARIES'!A5:E23,5,FALSE)</f>
        <v>40634</v>
      </c>
      <c r="B12" s="160">
        <f>VLOOKUP(D10,'FICHE SALARIES'!A5:K23,11,FALSE)</f>
        <v>225147</v>
      </c>
      <c r="C12" s="161">
        <f>VLOOKUP(D10,'FICHE SALARIES'!A5:F23,6,FALSE)</f>
        <v>31875</v>
      </c>
      <c r="D12" s="159" t="str">
        <f>VLOOKUP(D10,'FICHE SALARIES'!A5:I23,9,FALSE)</f>
        <v>C</v>
      </c>
      <c r="E12" s="159">
        <f>VLOOKUP(D10,'FICHE SALARIES'!A5:J23,10,FALSE)</f>
        <v>0</v>
      </c>
      <c r="F12" s="162" t="str">
        <f>VLOOKUP(D10,'FICHE SALARIES'!A5:H23,8,FALSE)</f>
        <v>Juin</v>
      </c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</row>
    <row r="13" spans="1:24" ht="22.5" thickTop="1" thickBot="1" x14ac:dyDescent="0.35">
      <c r="A13" s="188" t="s">
        <v>168</v>
      </c>
      <c r="B13" s="163" t="s">
        <v>169</v>
      </c>
      <c r="C13" s="164" t="s">
        <v>43</v>
      </c>
      <c r="D13" s="410" t="s">
        <v>170</v>
      </c>
      <c r="E13" s="411"/>
      <c r="F13" s="165" t="s">
        <v>171</v>
      </c>
      <c r="H13" s="380" t="s">
        <v>253</v>
      </c>
      <c r="I13" s="383"/>
      <c r="J13" s="383"/>
      <c r="K13" s="383"/>
      <c r="L13" s="383"/>
      <c r="M13" s="384"/>
      <c r="N13" s="373"/>
      <c r="O13" s="373"/>
      <c r="P13" s="373"/>
      <c r="Q13" s="373"/>
      <c r="R13" s="373"/>
      <c r="S13" s="373"/>
      <c r="T13" s="373"/>
      <c r="U13" s="373"/>
      <c r="V13" s="373"/>
      <c r="W13" s="373"/>
      <c r="X13" s="373"/>
    </row>
    <row r="14" spans="1:24" ht="15.75" thickTop="1" x14ac:dyDescent="0.2">
      <c r="A14" s="220" t="s">
        <v>227</v>
      </c>
      <c r="B14" s="192">
        <f>'FICHE SALARIES'!N7</f>
        <v>191</v>
      </c>
      <c r="C14" s="166">
        <f>VLOOKUP(D10,'FICHE SALARIES'!A5:O23,15,FALSE)</f>
        <v>20.94</v>
      </c>
      <c r="D14" s="412">
        <f>ROUND(B14*C14,0)</f>
        <v>4000</v>
      </c>
      <c r="E14" s="413"/>
      <c r="F14" s="167"/>
      <c r="H14" s="373"/>
      <c r="I14" s="373"/>
      <c r="J14" s="373"/>
      <c r="K14" s="373"/>
      <c r="L14" s="373"/>
      <c r="M14" s="373"/>
      <c r="N14" s="373"/>
      <c r="O14" s="373"/>
      <c r="P14" s="373"/>
      <c r="Q14" s="373"/>
      <c r="R14" s="373"/>
      <c r="S14" s="373"/>
      <c r="T14" s="373"/>
      <c r="U14" s="373"/>
      <c r="V14" s="373"/>
      <c r="W14" s="373"/>
      <c r="X14" s="373"/>
    </row>
    <row r="15" spans="1:24" ht="18.75" x14ac:dyDescent="0.25">
      <c r="A15" s="221" t="s">
        <v>228</v>
      </c>
      <c r="B15" s="193">
        <f>VLOOKUP(D10,'CALCUL SB &amp; HS'!A3:F21,6,FALSE)</f>
        <v>3</v>
      </c>
      <c r="C15" s="190">
        <v>1.25</v>
      </c>
      <c r="D15" s="414">
        <f>ROUND(B15*C14*C15,0)</f>
        <v>79</v>
      </c>
      <c r="E15" s="415"/>
      <c r="F15" s="168"/>
      <c r="H15" s="385" t="s">
        <v>285</v>
      </c>
      <c r="I15" s="386"/>
      <c r="J15" s="373"/>
      <c r="K15" s="373"/>
      <c r="L15" s="373"/>
      <c r="M15" s="373"/>
      <c r="N15" s="373"/>
      <c r="O15" s="373"/>
      <c r="P15" s="373"/>
      <c r="Q15" s="373"/>
      <c r="R15" s="373"/>
      <c r="S15" s="373"/>
      <c r="T15" s="373"/>
      <c r="U15" s="373"/>
      <c r="V15" s="373"/>
      <c r="W15" s="373"/>
      <c r="X15" s="373"/>
    </row>
    <row r="16" spans="1:24" ht="18.75" x14ac:dyDescent="0.25">
      <c r="A16" s="221" t="s">
        <v>229</v>
      </c>
      <c r="B16" s="194">
        <f>VLOOKUP(D10,'FICHE SALARIES'!A5:S23,18,FALSE)</f>
        <v>0</v>
      </c>
      <c r="C16" s="190">
        <v>1.5</v>
      </c>
      <c r="D16" s="418">
        <f>ROUND(B16*C14*C16,0)</f>
        <v>0</v>
      </c>
      <c r="E16" s="419"/>
      <c r="F16" s="168"/>
      <c r="H16" s="385" t="s">
        <v>286</v>
      </c>
      <c r="I16" s="385"/>
      <c r="J16" s="385"/>
      <c r="K16" s="385"/>
      <c r="L16" s="385"/>
      <c r="M16" s="385"/>
      <c r="N16" s="385"/>
      <c r="O16" s="385"/>
      <c r="P16" s="373"/>
      <c r="Q16" s="373"/>
      <c r="R16" s="373"/>
      <c r="S16" s="373"/>
      <c r="T16" s="373"/>
      <c r="U16" s="373"/>
      <c r="V16" s="373"/>
      <c r="W16" s="373"/>
      <c r="X16" s="373"/>
    </row>
    <row r="17" spans="1:24" x14ac:dyDescent="0.2">
      <c r="A17" s="221" t="s">
        <v>230</v>
      </c>
      <c r="B17" s="194">
        <f>VLOOKUP(D10,'FICHE SALARIES'!A5:S23,19,FALSE)</f>
        <v>0</v>
      </c>
      <c r="C17" s="190">
        <v>2</v>
      </c>
      <c r="D17" s="414">
        <f>ROUND(B17*C14*C17,0)</f>
        <v>0</v>
      </c>
      <c r="E17" s="415"/>
      <c r="F17" s="168"/>
      <c r="H17" s="373"/>
      <c r="I17" s="386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</row>
    <row r="18" spans="1:24" ht="18.75" x14ac:dyDescent="0.25">
      <c r="A18" s="221" t="str">
        <f>IF(D14="","","ANCIENNETE")</f>
        <v>ANCIENNETE</v>
      </c>
      <c r="B18" s="194">
        <f>+D14+D15+D16+D17</f>
        <v>4079</v>
      </c>
      <c r="C18" s="230">
        <f>VLOOKUP(D10,'CALCUL SB &amp; HS'!A3:N21,14,FALSE)</f>
        <v>0.1</v>
      </c>
      <c r="D18" s="416">
        <f>ROUND(B18*C18,0)</f>
        <v>408</v>
      </c>
      <c r="E18" s="417"/>
      <c r="F18" s="168"/>
      <c r="H18" s="385" t="s">
        <v>267</v>
      </c>
      <c r="I18" s="385"/>
      <c r="J18" s="385"/>
      <c r="K18" s="385"/>
      <c r="L18" s="385"/>
      <c r="M18" s="385"/>
      <c r="N18" s="373"/>
      <c r="O18" s="373"/>
      <c r="P18" s="373"/>
      <c r="Q18" s="373"/>
      <c r="R18" s="373"/>
      <c r="S18" s="373"/>
      <c r="T18" s="373"/>
      <c r="U18" s="373"/>
      <c r="V18" s="373"/>
      <c r="W18" s="373"/>
      <c r="X18" s="373"/>
    </row>
    <row r="19" spans="1:24" ht="18.75" x14ac:dyDescent="0.25">
      <c r="A19" s="221" t="s">
        <v>235</v>
      </c>
      <c r="B19" s="192"/>
      <c r="C19" s="227"/>
      <c r="D19" s="405">
        <v>0</v>
      </c>
      <c r="E19" s="406"/>
      <c r="F19" s="226"/>
      <c r="H19" s="385" t="s">
        <v>268</v>
      </c>
      <c r="I19" s="385"/>
      <c r="J19" s="385"/>
      <c r="K19" s="385"/>
      <c r="L19" s="385"/>
      <c r="M19" s="385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</row>
    <row r="20" spans="1:24" x14ac:dyDescent="0.2">
      <c r="A20" s="221" t="s">
        <v>221</v>
      </c>
      <c r="B20" s="192">
        <f>VLOOKUP(D10,'FICHE SALARIES'!A5:T23,20,FALSE)</f>
        <v>0</v>
      </c>
      <c r="C20" s="207">
        <f>+C14</f>
        <v>20.94</v>
      </c>
      <c r="D20" s="403">
        <f>ROUND(B20*C20,0)</f>
        <v>0</v>
      </c>
      <c r="E20" s="404"/>
      <c r="F20" s="226"/>
    </row>
    <row r="21" spans="1:24" x14ac:dyDescent="0.2">
      <c r="A21" s="221" t="s">
        <v>231</v>
      </c>
      <c r="B21" s="192">
        <f>VLOOKUP(D10,'FICHE SALARIES'!A5:T23,20,FALSE)</f>
        <v>0</v>
      </c>
      <c r="C21" s="207">
        <f>+C14</f>
        <v>20.94</v>
      </c>
      <c r="D21" s="403"/>
      <c r="E21" s="404"/>
      <c r="F21" s="225">
        <f>ROUND(B21*C21,0)</f>
        <v>0</v>
      </c>
    </row>
    <row r="22" spans="1:24" x14ac:dyDescent="0.2">
      <c r="A22" s="222" t="s">
        <v>172</v>
      </c>
      <c r="B22" s="192">
        <v>26</v>
      </c>
      <c r="C22" s="166">
        <f>IF(B22&lt;&gt;0,D22/B22,"")</f>
        <v>0</v>
      </c>
      <c r="D22" s="403"/>
      <c r="E22" s="404"/>
      <c r="F22" s="171"/>
    </row>
    <row r="23" spans="1:24" x14ac:dyDescent="0.2">
      <c r="A23" s="221" t="s">
        <v>233</v>
      </c>
      <c r="B23" s="194">
        <f>+D14+D15+D16+D17+D18+D19+D22</f>
        <v>4487</v>
      </c>
      <c r="C23" s="172"/>
      <c r="D23" s="403"/>
      <c r="E23" s="404"/>
      <c r="F23" s="170"/>
    </row>
    <row r="24" spans="1:24" ht="3.75" customHeight="1" x14ac:dyDescent="0.2">
      <c r="A24" s="222" t="s">
        <v>234</v>
      </c>
      <c r="B24" s="194">
        <f>+B23</f>
        <v>4487</v>
      </c>
      <c r="C24" s="191">
        <v>0.2</v>
      </c>
      <c r="D24" s="403"/>
      <c r="E24" s="404"/>
      <c r="F24" s="170">
        <f>IF(B24*C24&lt;=2500,B24*C24,2500)</f>
        <v>897.40000000000009</v>
      </c>
    </row>
    <row r="25" spans="1:24" x14ac:dyDescent="0.2">
      <c r="A25" s="222"/>
      <c r="B25" s="194"/>
      <c r="C25" s="172"/>
      <c r="D25" s="403"/>
      <c r="E25" s="404"/>
      <c r="F25" s="170"/>
    </row>
    <row r="26" spans="1:24" x14ac:dyDescent="0.2">
      <c r="A26" s="222" t="str">
        <f>IF(D14="","","C.N.S.S")</f>
        <v>C.N.S.S</v>
      </c>
      <c r="B26" s="194">
        <f>IF(B23&gt;6000,6000,B23)</f>
        <v>4487</v>
      </c>
      <c r="C26" s="169">
        <f>+PARAMETRAGE!D16</f>
        <v>4.48E-2</v>
      </c>
      <c r="D26" s="403"/>
      <c r="E26" s="404"/>
      <c r="F26" s="170">
        <f>ROUND(B26*C26,0)</f>
        <v>201</v>
      </c>
    </row>
    <row r="27" spans="1:24" x14ac:dyDescent="0.2">
      <c r="A27" s="221" t="s">
        <v>36</v>
      </c>
      <c r="B27" s="194">
        <f>B23</f>
        <v>4487</v>
      </c>
      <c r="C27" s="191">
        <v>0.06</v>
      </c>
      <c r="D27" s="403"/>
      <c r="E27" s="404"/>
      <c r="F27" s="170">
        <f>ROUND(B27*C27,0)</f>
        <v>269</v>
      </c>
    </row>
    <row r="28" spans="1:24" x14ac:dyDescent="0.2">
      <c r="A28" s="223" t="s">
        <v>35</v>
      </c>
      <c r="B28" s="195">
        <f>B23</f>
        <v>4487</v>
      </c>
      <c r="C28" s="285">
        <v>2.2599999999999999E-2</v>
      </c>
      <c r="D28" s="403"/>
      <c r="E28" s="404"/>
      <c r="F28" s="170">
        <f>ROUND(B28*C28,0)</f>
        <v>101</v>
      </c>
    </row>
    <row r="29" spans="1:24" x14ac:dyDescent="0.2">
      <c r="A29" s="224" t="s">
        <v>238</v>
      </c>
      <c r="B29" s="196">
        <f>+B23-F24-F26-F27-F28</f>
        <v>3018.6</v>
      </c>
      <c r="C29" s="190"/>
      <c r="D29" s="403"/>
      <c r="E29" s="404"/>
      <c r="F29" s="168"/>
    </row>
    <row r="30" spans="1:24" ht="3" customHeight="1" x14ac:dyDescent="0.2">
      <c r="A30" s="224" t="s">
        <v>70</v>
      </c>
      <c r="B30" s="196">
        <f>+B29</f>
        <v>3018.6</v>
      </c>
      <c r="C30" s="190">
        <f>IF(B30&gt;15000,38%,IF(B30&gt;6666.67,34%,IF(B30&gt;5000,30%,IF(B30&gt;=4166.67,20%,IF(B30&gt;=2500,10%,0%)))))</f>
        <v>0.1</v>
      </c>
      <c r="D30" s="403"/>
      <c r="E30" s="404"/>
      <c r="F30" s="225">
        <f>IF(B30&gt;15000,B30*38%-2033.33,IF(B30&gt;6666.67,B30*34%-1433.33,IF(B30&gt;5000,B30*30%-1166.67,IF(B30&gt;4166.67,B30*20%-666.67,IF(B30&gt;2500,B30*10%-250,0)))))</f>
        <v>51.860000000000014</v>
      </c>
    </row>
    <row r="31" spans="1:24" x14ac:dyDescent="0.2">
      <c r="A31" s="236" t="s">
        <v>241</v>
      </c>
      <c r="B31" s="196">
        <f>+B29</f>
        <v>3018.6</v>
      </c>
      <c r="C31" s="237"/>
      <c r="D31" s="403"/>
      <c r="E31" s="404"/>
      <c r="F31" s="238">
        <f>IF(AND(F30-E12*30&gt;0,E12&lt;=6),F30-E12*30,0)</f>
        <v>51.860000000000014</v>
      </c>
    </row>
    <row r="32" spans="1:24" x14ac:dyDescent="0.2">
      <c r="A32" s="222" t="s">
        <v>173</v>
      </c>
      <c r="B32" s="195"/>
      <c r="C32" s="174"/>
      <c r="D32" s="403">
        <f>VLOOKUP(D10,'FICHE SALARIES'!A5:W23,23,FALSE)</f>
        <v>600</v>
      </c>
      <c r="E32" s="404">
        <v>600</v>
      </c>
      <c r="F32" s="197"/>
    </row>
    <row r="33" spans="1:6" x14ac:dyDescent="0.2">
      <c r="A33" s="224" t="s">
        <v>195</v>
      </c>
      <c r="B33" s="173"/>
      <c r="C33" s="173"/>
      <c r="D33" s="403"/>
      <c r="E33" s="404"/>
      <c r="F33" s="197">
        <f>VLOOKUP(D10,'CALCUL SB &amp; HS'!A3:H21,8,FALSE)</f>
        <v>1000</v>
      </c>
    </row>
    <row r="34" spans="1:6" x14ac:dyDescent="0.2">
      <c r="A34" s="224"/>
      <c r="B34" s="173"/>
      <c r="C34" s="173"/>
      <c r="D34" s="403"/>
      <c r="E34" s="404"/>
      <c r="F34" s="197"/>
    </row>
    <row r="35" spans="1:6" x14ac:dyDescent="0.2">
      <c r="A35" s="224"/>
      <c r="B35" s="173"/>
      <c r="C35" s="173"/>
      <c r="D35" s="426"/>
      <c r="E35" s="427"/>
      <c r="F35" s="175"/>
    </row>
    <row r="36" spans="1:6" ht="19.5" x14ac:dyDescent="0.2">
      <c r="A36" s="176" t="s">
        <v>174</v>
      </c>
      <c r="B36" s="177" t="s">
        <v>175</v>
      </c>
      <c r="C36" s="177" t="s">
        <v>196</v>
      </c>
      <c r="D36" s="177" t="s">
        <v>176</v>
      </c>
      <c r="E36" s="177" t="s">
        <v>177</v>
      </c>
      <c r="F36" s="178" t="s">
        <v>178</v>
      </c>
    </row>
    <row r="37" spans="1:6" ht="15.75" thickBot="1" x14ac:dyDescent="0.25">
      <c r="A37" s="179">
        <v>26</v>
      </c>
      <c r="B37" s="180">
        <f>B23</f>
        <v>4487</v>
      </c>
      <c r="C37" s="180">
        <f>+F26+F27+F28</f>
        <v>571</v>
      </c>
      <c r="D37" s="180">
        <f>F31</f>
        <v>51.860000000000014</v>
      </c>
      <c r="E37" s="181">
        <f>SUM(D14:D19,D21:D35)</f>
        <v>5087</v>
      </c>
      <c r="F37" s="181">
        <f>SUM(F26:F28,F31,F33)</f>
        <v>1622.8600000000001</v>
      </c>
    </row>
    <row r="38" spans="1:6" ht="16.5" thickTop="1" thickBot="1" x14ac:dyDescent="0.25">
      <c r="A38" s="420"/>
      <c r="B38" s="421"/>
      <c r="C38" s="421"/>
      <c r="D38" s="421"/>
      <c r="E38" s="422"/>
      <c r="F38" s="182" t="s">
        <v>179</v>
      </c>
    </row>
    <row r="39" spans="1:6" ht="16.5" thickTop="1" thickBot="1" x14ac:dyDescent="0.25">
      <c r="A39" s="423"/>
      <c r="B39" s="424"/>
      <c r="C39" s="424"/>
      <c r="D39" s="424"/>
      <c r="E39" s="425"/>
      <c r="F39" s="183">
        <f>ROUND(E37-F37,0)</f>
        <v>3464</v>
      </c>
    </row>
    <row r="40" spans="1:6" ht="15.75" thickTop="1" x14ac:dyDescent="0.2"/>
  </sheetData>
  <sheetProtection formatCells="0" formatColumns="0" formatRows="0" insertColumns="0" deleteColumns="0" deleteRows="0"/>
  <mergeCells count="27">
    <mergeCell ref="A38:E39"/>
    <mergeCell ref="D28:E28"/>
    <mergeCell ref="D30:E30"/>
    <mergeCell ref="D35:E35"/>
    <mergeCell ref="D22:E22"/>
    <mergeCell ref="D23:E23"/>
    <mergeCell ref="D26:E26"/>
    <mergeCell ref="D27:E27"/>
    <mergeCell ref="D33:E33"/>
    <mergeCell ref="D34:E34"/>
    <mergeCell ref="D24:E24"/>
    <mergeCell ref="D25:E25"/>
    <mergeCell ref="D29:E29"/>
    <mergeCell ref="D31:E31"/>
    <mergeCell ref="D32:E32"/>
    <mergeCell ref="D20:E20"/>
    <mergeCell ref="D21:E21"/>
    <mergeCell ref="D19:E19"/>
    <mergeCell ref="D5:F5"/>
    <mergeCell ref="D9:E9"/>
    <mergeCell ref="D10:E10"/>
    <mergeCell ref="D13:E13"/>
    <mergeCell ref="D14:E14"/>
    <mergeCell ref="D15:E15"/>
    <mergeCell ref="D18:E18"/>
    <mergeCell ref="D16:E16"/>
    <mergeCell ref="D17:E17"/>
  </mergeCells>
  <conditionalFormatting sqref="C19">
    <cfRule type="expression" dxfId="0" priority="9" stopIfTrue="1">
      <formula>$D$23=0</formula>
    </cfRule>
  </conditionalFormatting>
  <dataValidations count="1">
    <dataValidation type="list" allowBlank="1" showInputMessage="1" showErrorMessage="1" sqref="D10:E10" xr:uid="{00000000-0002-0000-0500-000000000000}">
      <formula1>CODE1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3:Q41"/>
  <sheetViews>
    <sheetView workbookViewId="0">
      <selection activeCell="D3" sqref="D3"/>
    </sheetView>
  </sheetViews>
  <sheetFormatPr defaultColWidth="11.43359375" defaultRowHeight="15" x14ac:dyDescent="0.2"/>
  <cols>
    <col min="1" max="1" width="7.12890625" style="24" customWidth="1"/>
    <col min="2" max="2" width="21.1171875" style="24" customWidth="1"/>
    <col min="3" max="3" width="14.9296875" style="24" customWidth="1"/>
    <col min="4" max="4" width="12.375" style="24" customWidth="1"/>
    <col min="5" max="6" width="10.4921875" style="24" customWidth="1"/>
    <col min="7" max="11" width="11.43359375" style="24"/>
    <col min="12" max="12" width="9.953125" style="24" customWidth="1"/>
    <col min="13" max="13" width="10.35546875" style="24" customWidth="1"/>
    <col min="14" max="15" width="10.4921875" style="24" customWidth="1"/>
    <col min="16" max="16" width="12.375" style="24" customWidth="1"/>
    <col min="17" max="16384" width="11.43359375" style="24"/>
  </cols>
  <sheetData>
    <row r="3" spans="1:17" ht="21" x14ac:dyDescent="0.3">
      <c r="B3" s="278" t="s">
        <v>264</v>
      </c>
      <c r="C3" s="279"/>
      <c r="D3" s="281">
        <f>CNSS!F7</f>
        <v>42522</v>
      </c>
    </row>
    <row r="5" spans="1:17" ht="15.75" thickBot="1" x14ac:dyDescent="0.25"/>
    <row r="6" spans="1:17" ht="19.5" thickBot="1" x14ac:dyDescent="0.25">
      <c r="A6" s="428" t="s">
        <v>240</v>
      </c>
      <c r="B6" s="267" t="s">
        <v>58</v>
      </c>
      <c r="C6" s="431" t="s">
        <v>59</v>
      </c>
      <c r="D6" s="428" t="s">
        <v>60</v>
      </c>
      <c r="E6" s="428" t="s">
        <v>61</v>
      </c>
      <c r="F6" s="428" t="s">
        <v>62</v>
      </c>
      <c r="G6" s="428" t="s">
        <v>63</v>
      </c>
      <c r="H6" s="428" t="s">
        <v>64</v>
      </c>
      <c r="I6" s="428" t="s">
        <v>65</v>
      </c>
      <c r="J6" s="428" t="s">
        <v>66</v>
      </c>
      <c r="K6" s="428" t="s">
        <v>67</v>
      </c>
      <c r="L6" s="432" t="s">
        <v>68</v>
      </c>
      <c r="M6" s="433"/>
      <c r="N6" s="433"/>
      <c r="O6" s="434"/>
      <c r="P6" s="428" t="s">
        <v>239</v>
      </c>
      <c r="Q6" s="428" t="s">
        <v>69</v>
      </c>
    </row>
    <row r="7" spans="1:17" ht="24.75" customHeight="1" thickBot="1" x14ac:dyDescent="0.3">
      <c r="A7" s="429"/>
      <c r="B7" s="269"/>
      <c r="C7" s="429"/>
      <c r="D7" s="429"/>
      <c r="E7" s="429"/>
      <c r="F7" s="429"/>
      <c r="G7" s="429"/>
      <c r="H7" s="429"/>
      <c r="I7" s="429"/>
      <c r="J7" s="429"/>
      <c r="K7" s="429"/>
      <c r="L7" s="248" t="s">
        <v>40</v>
      </c>
      <c r="M7" s="248" t="s">
        <v>35</v>
      </c>
      <c r="N7" s="248" t="s">
        <v>36</v>
      </c>
      <c r="O7" s="248" t="s">
        <v>70</v>
      </c>
      <c r="P7" s="429"/>
      <c r="Q7" s="430"/>
    </row>
    <row r="8" spans="1:17" ht="18.75" customHeight="1" thickBot="1" x14ac:dyDescent="0.25">
      <c r="A8" s="198" t="s">
        <v>148</v>
      </c>
      <c r="B8" s="249" t="str">
        <f>+'FICHE SALARIES'!B7</f>
        <v>SALMI AMIN</v>
      </c>
      <c r="C8" s="250" t="str">
        <f>'FICHE SALARIES'!C7</f>
        <v>Technicien</v>
      </c>
      <c r="D8" s="251">
        <f>'FICHE SALARIES'!E7</f>
        <v>40634</v>
      </c>
      <c r="E8" s="251" t="str">
        <f>'FICHE SALARIES'!I7</f>
        <v>C</v>
      </c>
      <c r="F8" s="250">
        <f>'FICHE SALARIES'!J7</f>
        <v>0</v>
      </c>
      <c r="G8" s="250">
        <v>26</v>
      </c>
      <c r="H8" s="252">
        <f>ROUND(Q8+P8+O8+N8+M8+L8,0)</f>
        <v>5087</v>
      </c>
      <c r="I8" s="253">
        <f>+'CALCUL SB &amp; HS'!Q5</f>
        <v>4487</v>
      </c>
      <c r="J8" s="253">
        <v>6000</v>
      </c>
      <c r="K8" s="253">
        <f>+'CALCUL SB &amp; HS'!V5</f>
        <v>3018.5823999999998</v>
      </c>
      <c r="L8" s="254">
        <f>+'CALCUL SB &amp; HS'!S5</f>
        <v>201.01760000000002</v>
      </c>
      <c r="M8" s="253">
        <f>+'CALCUL SB &amp; HS'!T5</f>
        <v>101</v>
      </c>
      <c r="N8" s="253">
        <f>+'CALCUL SB &amp; HS'!U5</f>
        <v>269</v>
      </c>
      <c r="O8" s="253">
        <f>+'CALCUL SB &amp; HS'!X5</f>
        <v>51.858239999999967</v>
      </c>
      <c r="P8" s="253">
        <f>+'CALCUL SB &amp; HS'!H5</f>
        <v>1000</v>
      </c>
      <c r="Q8" s="255">
        <f>+'CALCUL SB &amp; HS'!Z5</f>
        <v>3464</v>
      </c>
    </row>
    <row r="9" spans="1:17" ht="19.5" customHeight="1" thickBot="1" x14ac:dyDescent="0.25">
      <c r="A9" s="199" t="s">
        <v>149</v>
      </c>
      <c r="B9" s="249" t="str">
        <f>+'FICHE SALARIES'!B8</f>
        <v>ABDNABI LBAYAD</v>
      </c>
      <c r="C9" s="250" t="str">
        <f>'FICHE SALARIES'!C8</f>
        <v>Comptable</v>
      </c>
      <c r="D9" s="251">
        <f>'FICHE SALARIES'!E8</f>
        <v>39965</v>
      </c>
      <c r="E9" s="251" t="str">
        <f>'FICHE SALARIES'!I8</f>
        <v>M</v>
      </c>
      <c r="F9" s="250">
        <f>'FICHE SALARIES'!J8</f>
        <v>3</v>
      </c>
      <c r="G9" s="250">
        <v>26</v>
      </c>
      <c r="H9" s="252">
        <f t="shared" ref="H9:H32" si="0">ROUND(Q9+P9+O9+N9+M9+L9,0)</f>
        <v>5875</v>
      </c>
      <c r="I9" s="253">
        <f>+'CALCUL SB &amp; HS'!Q6</f>
        <v>5275</v>
      </c>
      <c r="J9" s="253">
        <v>6000</v>
      </c>
      <c r="K9" s="253">
        <f>+'CALCUL SB &amp; HS'!V6</f>
        <v>3547.68</v>
      </c>
      <c r="L9" s="254">
        <f>+'CALCUL SB &amp; HS'!S6</f>
        <v>236.32000000000002</v>
      </c>
      <c r="M9" s="253">
        <f>+'CALCUL SB &amp; HS'!T6</f>
        <v>119</v>
      </c>
      <c r="N9" s="253">
        <f>+'CALCUL SB &amp; HS'!U6</f>
        <v>317</v>
      </c>
      <c r="O9" s="253">
        <f>+'CALCUL SB &amp; HS'!X6</f>
        <v>14.768000000000029</v>
      </c>
      <c r="P9" s="253">
        <f>+'CALCUL SB &amp; HS'!H6</f>
        <v>1500</v>
      </c>
      <c r="Q9" s="255">
        <f>+'CALCUL SB &amp; HS'!Z6</f>
        <v>3688</v>
      </c>
    </row>
    <row r="10" spans="1:17" ht="15.75" thickBot="1" x14ac:dyDescent="0.25">
      <c r="A10" s="199" t="s">
        <v>150</v>
      </c>
      <c r="B10" s="249" t="str">
        <f>+'FICHE SALARIES'!B9</f>
        <v>AMIN AMIN</v>
      </c>
      <c r="C10" s="250" t="str">
        <f>'FICHE SALARIES'!C9</f>
        <v>Commercial</v>
      </c>
      <c r="D10" s="251">
        <f>'FICHE SALARIES'!E9</f>
        <v>41030</v>
      </c>
      <c r="E10" s="251" t="str">
        <f>'FICHE SALARIES'!I9</f>
        <v>M</v>
      </c>
      <c r="F10" s="250">
        <f>'FICHE SALARIES'!J9</f>
        <v>2</v>
      </c>
      <c r="G10" s="250">
        <v>26</v>
      </c>
      <c r="H10" s="252">
        <f t="shared" si="0"/>
        <v>5850</v>
      </c>
      <c r="I10" s="253">
        <f>+'CALCUL SB &amp; HS'!Q7</f>
        <v>5250</v>
      </c>
      <c r="J10" s="253">
        <v>6000</v>
      </c>
      <c r="K10" s="253">
        <f>+'CALCUL SB &amp; HS'!V7</f>
        <v>3530.8</v>
      </c>
      <c r="L10" s="254">
        <f>+'CALCUL SB &amp; HS'!S7</f>
        <v>235.20000000000005</v>
      </c>
      <c r="M10" s="253">
        <f>+'CALCUL SB &amp; HS'!T7</f>
        <v>119</v>
      </c>
      <c r="N10" s="253">
        <f>+'CALCUL SB &amp; HS'!U7</f>
        <v>315</v>
      </c>
      <c r="O10" s="253">
        <f>+'CALCUL SB &amp; HS'!X7</f>
        <v>43.080000000000041</v>
      </c>
      <c r="P10" s="253">
        <f>+'CALCUL SB &amp; HS'!H7</f>
        <v>2000</v>
      </c>
      <c r="Q10" s="255">
        <f>+'CALCUL SB &amp; HS'!Z7</f>
        <v>3138</v>
      </c>
    </row>
    <row r="11" spans="1:17" ht="15.75" thickBot="1" x14ac:dyDescent="0.25">
      <c r="A11" s="199" t="s">
        <v>151</v>
      </c>
      <c r="B11" s="249" t="str">
        <f>+'FICHE SALARIES'!B10</f>
        <v>ACHRAF LKHAL</v>
      </c>
      <c r="C11" s="250" t="str">
        <f>'FICHE SALARIES'!C10</f>
        <v>Coursier</v>
      </c>
      <c r="D11" s="251">
        <f>'FICHE SALARIES'!E10</f>
        <v>36679</v>
      </c>
      <c r="E11" s="251" t="str">
        <f>'FICHE SALARIES'!I10</f>
        <v>M</v>
      </c>
      <c r="F11" s="250">
        <f>'FICHE SALARIES'!J10</f>
        <v>1</v>
      </c>
      <c r="G11" s="250">
        <v>26</v>
      </c>
      <c r="H11" s="252">
        <f t="shared" si="0"/>
        <v>4050</v>
      </c>
      <c r="I11" s="253">
        <f>+'CALCUL SB &amp; HS'!Q8</f>
        <v>3450</v>
      </c>
      <c r="J11" s="253">
        <v>6000</v>
      </c>
      <c r="K11" s="253">
        <f>+'CALCUL SB &amp; HS'!V8</f>
        <v>2320.44</v>
      </c>
      <c r="L11" s="254">
        <f>+'CALCUL SB &amp; HS'!S8</f>
        <v>154.56000000000003</v>
      </c>
      <c r="M11" s="253">
        <f>+'CALCUL SB &amp; HS'!T8</f>
        <v>78</v>
      </c>
      <c r="N11" s="253">
        <f>+'CALCUL SB &amp; HS'!U8</f>
        <v>207</v>
      </c>
      <c r="O11" s="253">
        <f>+'CALCUL SB &amp; HS'!X8</f>
        <v>0</v>
      </c>
      <c r="P11" s="253">
        <f>+'CALCUL SB &amp; HS'!H8</f>
        <v>500</v>
      </c>
      <c r="Q11" s="255">
        <f>+'CALCUL SB &amp; HS'!Z8</f>
        <v>3110</v>
      </c>
    </row>
    <row r="12" spans="1:17" ht="15.75" thickBot="1" x14ac:dyDescent="0.25">
      <c r="A12" s="199" t="s">
        <v>152</v>
      </c>
      <c r="B12" s="249" t="str">
        <f>+'FICHE SALARIES'!B11</f>
        <v>ADIL ADIL</v>
      </c>
      <c r="C12" s="250" t="str">
        <f>'FICHE SALARIES'!C11</f>
        <v>ouvrier</v>
      </c>
      <c r="D12" s="251">
        <f>'FICHE SALARIES'!E11</f>
        <v>37012</v>
      </c>
      <c r="E12" s="251" t="str">
        <f>'FICHE SALARIES'!I11</f>
        <v>M</v>
      </c>
      <c r="F12" s="250">
        <f>'FICHE SALARIES'!J11</f>
        <v>2</v>
      </c>
      <c r="G12" s="250">
        <v>26</v>
      </c>
      <c r="H12" s="252">
        <f t="shared" si="0"/>
        <v>4208</v>
      </c>
      <c r="I12" s="253">
        <f>+'CALCUL SB &amp; HS'!Q9</f>
        <v>3608</v>
      </c>
      <c r="J12" s="253">
        <v>6000</v>
      </c>
      <c r="K12" s="253">
        <f>+'CALCUL SB &amp; HS'!V9</f>
        <v>2426.7616000000003</v>
      </c>
      <c r="L12" s="254">
        <f>+'CALCUL SB &amp; HS'!S9</f>
        <v>161.63840000000002</v>
      </c>
      <c r="M12" s="253">
        <f>+'CALCUL SB &amp; HS'!T9</f>
        <v>82</v>
      </c>
      <c r="N12" s="253">
        <f>+'CALCUL SB &amp; HS'!U9</f>
        <v>216</v>
      </c>
      <c r="O12" s="253">
        <f>+'CALCUL SB &amp; HS'!X9</f>
        <v>0</v>
      </c>
      <c r="P12" s="253">
        <f>+'CALCUL SB &amp; HS'!H9</f>
        <v>500</v>
      </c>
      <c r="Q12" s="255">
        <f>+'CALCUL SB &amp; HS'!Z9</f>
        <v>3248</v>
      </c>
    </row>
    <row r="13" spans="1:17" ht="15.75" thickBot="1" x14ac:dyDescent="0.25">
      <c r="A13" s="199" t="s">
        <v>153</v>
      </c>
      <c r="B13" s="249" t="e">
        <f>+'FICHE SALARIES'!#REF!</f>
        <v>#REF!</v>
      </c>
      <c r="C13" s="250" t="e">
        <f>'FICHE SALARIES'!#REF!</f>
        <v>#REF!</v>
      </c>
      <c r="D13" s="251" t="e">
        <f>'FICHE SALARIES'!#REF!</f>
        <v>#REF!</v>
      </c>
      <c r="E13" s="251" t="e">
        <f>'FICHE SALARIES'!#REF!</f>
        <v>#REF!</v>
      </c>
      <c r="F13" s="250" t="e">
        <f>'FICHE SALARIES'!#REF!</f>
        <v>#REF!</v>
      </c>
      <c r="G13" s="250">
        <v>26</v>
      </c>
      <c r="H13" s="252" t="e">
        <f t="shared" si="0"/>
        <v>#REF!</v>
      </c>
      <c r="I13" s="253" t="e">
        <f>+'CALCUL SB &amp; HS'!Q10</f>
        <v>#REF!</v>
      </c>
      <c r="J13" s="253">
        <v>6000</v>
      </c>
      <c r="K13" s="253" t="e">
        <f>+'CALCUL SB &amp; HS'!V10</f>
        <v>#REF!</v>
      </c>
      <c r="L13" s="254" t="e">
        <f>+'CALCUL SB &amp; HS'!S10</f>
        <v>#REF!</v>
      </c>
      <c r="M13" s="253" t="e">
        <f>+'CALCUL SB &amp; HS'!T10</f>
        <v>#REF!</v>
      </c>
      <c r="N13" s="253" t="e">
        <f>+'CALCUL SB &amp; HS'!U10</f>
        <v>#REF!</v>
      </c>
      <c r="O13" s="253" t="e">
        <f>+'CALCUL SB &amp; HS'!X10</f>
        <v>#REF!</v>
      </c>
      <c r="P13" s="253">
        <f>+'CALCUL SB &amp; HS'!H10</f>
        <v>0</v>
      </c>
      <c r="Q13" s="255" t="e">
        <f>+'CALCUL SB &amp; HS'!Z10</f>
        <v>#REF!</v>
      </c>
    </row>
    <row r="14" spans="1:17" ht="15.75" thickBot="1" x14ac:dyDescent="0.25">
      <c r="A14" s="199" t="s">
        <v>154</v>
      </c>
      <c r="B14" s="249" t="e">
        <f>+'FICHE SALARIES'!#REF!</f>
        <v>#REF!</v>
      </c>
      <c r="C14" s="250" t="e">
        <f>'FICHE SALARIES'!#REF!</f>
        <v>#REF!</v>
      </c>
      <c r="D14" s="251" t="e">
        <f>'FICHE SALARIES'!#REF!</f>
        <v>#REF!</v>
      </c>
      <c r="E14" s="251" t="e">
        <f>'FICHE SALARIES'!#REF!</f>
        <v>#REF!</v>
      </c>
      <c r="F14" s="250" t="e">
        <f>'FICHE SALARIES'!#REF!</f>
        <v>#REF!</v>
      </c>
      <c r="G14" s="250">
        <v>26</v>
      </c>
      <c r="H14" s="252" t="e">
        <f t="shared" si="0"/>
        <v>#REF!</v>
      </c>
      <c r="I14" s="253" t="e">
        <f>+'CALCUL SB &amp; HS'!Q11</f>
        <v>#REF!</v>
      </c>
      <c r="J14" s="253">
        <v>6000</v>
      </c>
      <c r="K14" s="253" t="e">
        <f>+'CALCUL SB &amp; HS'!V11</f>
        <v>#REF!</v>
      </c>
      <c r="L14" s="254" t="e">
        <f>+'CALCUL SB &amp; HS'!S11</f>
        <v>#REF!</v>
      </c>
      <c r="M14" s="253" t="e">
        <f>+'CALCUL SB &amp; HS'!T11</f>
        <v>#REF!</v>
      </c>
      <c r="N14" s="253" t="e">
        <f>+'CALCUL SB &amp; HS'!U11</f>
        <v>#REF!</v>
      </c>
      <c r="O14" s="253" t="e">
        <f>+'CALCUL SB &amp; HS'!X11</f>
        <v>#REF!</v>
      </c>
      <c r="P14" s="253">
        <f>+'CALCUL SB &amp; HS'!H11</f>
        <v>0</v>
      </c>
      <c r="Q14" s="255" t="e">
        <f>+'CALCUL SB &amp; HS'!Z11</f>
        <v>#REF!</v>
      </c>
    </row>
    <row r="15" spans="1:17" ht="15.75" thickBot="1" x14ac:dyDescent="0.25">
      <c r="A15" s="199" t="s">
        <v>155</v>
      </c>
      <c r="B15" s="249" t="e">
        <f>+'FICHE SALARIES'!#REF!</f>
        <v>#REF!</v>
      </c>
      <c r="C15" s="250" t="e">
        <f>'FICHE SALARIES'!#REF!</f>
        <v>#REF!</v>
      </c>
      <c r="D15" s="251" t="e">
        <f>'FICHE SALARIES'!#REF!</f>
        <v>#REF!</v>
      </c>
      <c r="E15" s="251" t="e">
        <f>'FICHE SALARIES'!#REF!</f>
        <v>#REF!</v>
      </c>
      <c r="F15" s="250" t="e">
        <f>'FICHE SALARIES'!#REF!</f>
        <v>#REF!</v>
      </c>
      <c r="G15" s="250">
        <v>26</v>
      </c>
      <c r="H15" s="252" t="e">
        <f t="shared" si="0"/>
        <v>#REF!</v>
      </c>
      <c r="I15" s="253" t="e">
        <f>+'CALCUL SB &amp; HS'!Q12</f>
        <v>#REF!</v>
      </c>
      <c r="J15" s="253">
        <v>6000</v>
      </c>
      <c r="K15" s="253" t="e">
        <f>+'CALCUL SB &amp; HS'!V12</f>
        <v>#REF!</v>
      </c>
      <c r="L15" s="254" t="e">
        <f>+'CALCUL SB &amp; HS'!S12</f>
        <v>#REF!</v>
      </c>
      <c r="M15" s="253" t="e">
        <f>+'CALCUL SB &amp; HS'!T12</f>
        <v>#REF!</v>
      </c>
      <c r="N15" s="253" t="e">
        <f>+'CALCUL SB &amp; HS'!U12</f>
        <v>#REF!</v>
      </c>
      <c r="O15" s="253" t="e">
        <f>+'CALCUL SB &amp; HS'!X12</f>
        <v>#REF!</v>
      </c>
      <c r="P15" s="253">
        <f>+'CALCUL SB &amp; HS'!H12</f>
        <v>0</v>
      </c>
      <c r="Q15" s="255" t="e">
        <f>+'CALCUL SB &amp; HS'!Z12</f>
        <v>#REF!</v>
      </c>
    </row>
    <row r="16" spans="1:17" ht="15.75" thickBot="1" x14ac:dyDescent="0.25">
      <c r="A16" s="199" t="s">
        <v>156</v>
      </c>
      <c r="B16" s="249" t="e">
        <f>+'FICHE SALARIES'!#REF!</f>
        <v>#REF!</v>
      </c>
      <c r="C16" s="250" t="e">
        <f>'FICHE SALARIES'!#REF!</f>
        <v>#REF!</v>
      </c>
      <c r="D16" s="251" t="e">
        <f>'FICHE SALARIES'!#REF!</f>
        <v>#REF!</v>
      </c>
      <c r="E16" s="251" t="e">
        <f>'FICHE SALARIES'!#REF!</f>
        <v>#REF!</v>
      </c>
      <c r="F16" s="250" t="e">
        <f>'FICHE SALARIES'!#REF!</f>
        <v>#REF!</v>
      </c>
      <c r="G16" s="250">
        <v>26</v>
      </c>
      <c r="H16" s="252" t="e">
        <f t="shared" si="0"/>
        <v>#REF!</v>
      </c>
      <c r="I16" s="253" t="e">
        <f>+'CALCUL SB &amp; HS'!Q13</f>
        <v>#REF!</v>
      </c>
      <c r="J16" s="253">
        <v>6000</v>
      </c>
      <c r="K16" s="253" t="e">
        <f>+'CALCUL SB &amp; HS'!V13</f>
        <v>#REF!</v>
      </c>
      <c r="L16" s="254" t="e">
        <f>+'CALCUL SB &amp; HS'!S13</f>
        <v>#REF!</v>
      </c>
      <c r="M16" s="253" t="e">
        <f>+'CALCUL SB &amp; HS'!T13</f>
        <v>#REF!</v>
      </c>
      <c r="N16" s="253" t="e">
        <f>+'CALCUL SB &amp; HS'!U13</f>
        <v>#REF!</v>
      </c>
      <c r="O16" s="253" t="e">
        <f>+'CALCUL SB &amp; HS'!X13</f>
        <v>#REF!</v>
      </c>
      <c r="P16" s="253">
        <f>+'CALCUL SB &amp; HS'!H13</f>
        <v>0</v>
      </c>
      <c r="Q16" s="255" t="e">
        <f>+'CALCUL SB &amp; HS'!Z13</f>
        <v>#REF!</v>
      </c>
    </row>
    <row r="17" spans="1:17" ht="15.75" thickBot="1" x14ac:dyDescent="0.25">
      <c r="A17" s="200" t="s">
        <v>198</v>
      </c>
      <c r="B17" s="249" t="e">
        <f>+'FICHE SALARIES'!#REF!</f>
        <v>#REF!</v>
      </c>
      <c r="C17" s="250" t="e">
        <f>'FICHE SALARIES'!#REF!</f>
        <v>#REF!</v>
      </c>
      <c r="D17" s="251" t="e">
        <f>'FICHE SALARIES'!#REF!</f>
        <v>#REF!</v>
      </c>
      <c r="E17" s="251" t="e">
        <f>'FICHE SALARIES'!#REF!</f>
        <v>#REF!</v>
      </c>
      <c r="F17" s="250" t="e">
        <f>'FICHE SALARIES'!#REF!</f>
        <v>#REF!</v>
      </c>
      <c r="G17" s="250">
        <v>26</v>
      </c>
      <c r="H17" s="252" t="e">
        <f t="shared" si="0"/>
        <v>#REF!</v>
      </c>
      <c r="I17" s="253" t="e">
        <f>+'CALCUL SB &amp; HS'!Q14</f>
        <v>#REF!</v>
      </c>
      <c r="J17" s="253">
        <v>6000</v>
      </c>
      <c r="K17" s="253" t="e">
        <f>+'CALCUL SB &amp; HS'!V14</f>
        <v>#REF!</v>
      </c>
      <c r="L17" s="254" t="e">
        <f>+'CALCUL SB &amp; HS'!S14</f>
        <v>#REF!</v>
      </c>
      <c r="M17" s="253" t="e">
        <f>+'CALCUL SB &amp; HS'!T14</f>
        <v>#REF!</v>
      </c>
      <c r="N17" s="253" t="e">
        <f>+'CALCUL SB &amp; HS'!U14</f>
        <v>#REF!</v>
      </c>
      <c r="O17" s="253" t="e">
        <f>+'CALCUL SB &amp; HS'!X14</f>
        <v>#REF!</v>
      </c>
      <c r="P17" s="253">
        <f>+'CALCUL SB &amp; HS'!H14</f>
        <v>0</v>
      </c>
      <c r="Q17" s="255" t="e">
        <f>+'CALCUL SB &amp; HS'!Z14</f>
        <v>#REF!</v>
      </c>
    </row>
    <row r="18" spans="1:17" ht="15.75" thickBot="1" x14ac:dyDescent="0.25">
      <c r="A18" s="201" t="s">
        <v>199</v>
      </c>
      <c r="B18" s="249" t="e">
        <f>+'FICHE SALARIES'!#REF!</f>
        <v>#REF!</v>
      </c>
      <c r="C18" s="250" t="e">
        <f>'FICHE SALARIES'!#REF!</f>
        <v>#REF!</v>
      </c>
      <c r="D18" s="251" t="e">
        <f>'FICHE SALARIES'!#REF!</f>
        <v>#REF!</v>
      </c>
      <c r="E18" s="251" t="e">
        <f>'FICHE SALARIES'!#REF!</f>
        <v>#REF!</v>
      </c>
      <c r="F18" s="250" t="e">
        <f>'FICHE SALARIES'!#REF!</f>
        <v>#REF!</v>
      </c>
      <c r="G18" s="250">
        <v>26</v>
      </c>
      <c r="H18" s="252" t="e">
        <f t="shared" si="0"/>
        <v>#REF!</v>
      </c>
      <c r="I18" s="253" t="e">
        <f>+'CALCUL SB &amp; HS'!Q15</f>
        <v>#REF!</v>
      </c>
      <c r="J18" s="253">
        <v>6000</v>
      </c>
      <c r="K18" s="253" t="e">
        <f>+'CALCUL SB &amp; HS'!V15</f>
        <v>#REF!</v>
      </c>
      <c r="L18" s="254" t="e">
        <f>+'CALCUL SB &amp; HS'!S15</f>
        <v>#REF!</v>
      </c>
      <c r="M18" s="253" t="e">
        <f>+'CALCUL SB &amp; HS'!T15</f>
        <v>#REF!</v>
      </c>
      <c r="N18" s="253" t="e">
        <f>+'CALCUL SB &amp; HS'!U15</f>
        <v>#REF!</v>
      </c>
      <c r="O18" s="253" t="e">
        <f>+'CALCUL SB &amp; HS'!X15</f>
        <v>#REF!</v>
      </c>
      <c r="P18" s="253">
        <f>+'CALCUL SB &amp; HS'!H15</f>
        <v>0</v>
      </c>
      <c r="Q18" s="255" t="e">
        <f>+'CALCUL SB &amp; HS'!Z15</f>
        <v>#REF!</v>
      </c>
    </row>
    <row r="19" spans="1:17" ht="15.75" thickBot="1" x14ac:dyDescent="0.25">
      <c r="A19" s="201" t="s">
        <v>200</v>
      </c>
      <c r="B19" s="249" t="e">
        <f>+'FICHE SALARIES'!#REF!</f>
        <v>#REF!</v>
      </c>
      <c r="C19" s="250" t="e">
        <f>'FICHE SALARIES'!#REF!</f>
        <v>#REF!</v>
      </c>
      <c r="D19" s="251" t="e">
        <f>'FICHE SALARIES'!#REF!</f>
        <v>#REF!</v>
      </c>
      <c r="E19" s="251" t="e">
        <f>'FICHE SALARIES'!#REF!</f>
        <v>#REF!</v>
      </c>
      <c r="F19" s="250" t="e">
        <f>'FICHE SALARIES'!#REF!</f>
        <v>#REF!</v>
      </c>
      <c r="G19" s="250">
        <v>26</v>
      </c>
      <c r="H19" s="252" t="e">
        <f t="shared" si="0"/>
        <v>#REF!</v>
      </c>
      <c r="I19" s="253" t="e">
        <f>+'CALCUL SB &amp; HS'!Q16</f>
        <v>#REF!</v>
      </c>
      <c r="J19" s="253">
        <v>6000</v>
      </c>
      <c r="K19" s="253" t="e">
        <f>+'CALCUL SB &amp; HS'!V16</f>
        <v>#REF!</v>
      </c>
      <c r="L19" s="254" t="e">
        <f>+'CALCUL SB &amp; HS'!S16</f>
        <v>#REF!</v>
      </c>
      <c r="M19" s="253" t="e">
        <f>+'CALCUL SB &amp; HS'!T16</f>
        <v>#REF!</v>
      </c>
      <c r="N19" s="253" t="e">
        <f>+'CALCUL SB &amp; HS'!U16</f>
        <v>#REF!</v>
      </c>
      <c r="O19" s="253" t="e">
        <f>+'CALCUL SB &amp; HS'!X16</f>
        <v>#REF!</v>
      </c>
      <c r="P19" s="253">
        <f>+'CALCUL SB &amp; HS'!H16</f>
        <v>0</v>
      </c>
      <c r="Q19" s="255" t="e">
        <f>+'CALCUL SB &amp; HS'!Z16</f>
        <v>#REF!</v>
      </c>
    </row>
    <row r="20" spans="1:17" ht="15.75" thickBot="1" x14ac:dyDescent="0.25">
      <c r="A20" s="201" t="s">
        <v>201</v>
      </c>
      <c r="B20" s="249" t="e">
        <f>+'FICHE SALARIES'!#REF!</f>
        <v>#REF!</v>
      </c>
      <c r="C20" s="250" t="e">
        <f>'FICHE SALARIES'!#REF!</f>
        <v>#REF!</v>
      </c>
      <c r="D20" s="251" t="e">
        <f>'FICHE SALARIES'!#REF!</f>
        <v>#REF!</v>
      </c>
      <c r="E20" s="251" t="e">
        <f>'FICHE SALARIES'!#REF!</f>
        <v>#REF!</v>
      </c>
      <c r="F20" s="250" t="e">
        <f>'FICHE SALARIES'!#REF!</f>
        <v>#REF!</v>
      </c>
      <c r="G20" s="250">
        <v>26</v>
      </c>
      <c r="H20" s="252" t="e">
        <f t="shared" si="0"/>
        <v>#REF!</v>
      </c>
      <c r="I20" s="253" t="e">
        <f>+'CALCUL SB &amp; HS'!Q17</f>
        <v>#REF!</v>
      </c>
      <c r="J20" s="253">
        <v>6000</v>
      </c>
      <c r="K20" s="253" t="e">
        <f>+'CALCUL SB &amp; HS'!V17</f>
        <v>#REF!</v>
      </c>
      <c r="L20" s="254" t="e">
        <f>+'CALCUL SB &amp; HS'!S17</f>
        <v>#REF!</v>
      </c>
      <c r="M20" s="253" t="e">
        <f>+'CALCUL SB &amp; HS'!T17</f>
        <v>#REF!</v>
      </c>
      <c r="N20" s="253" t="e">
        <f>+'CALCUL SB &amp; HS'!U17</f>
        <v>#REF!</v>
      </c>
      <c r="O20" s="253" t="e">
        <f>+'CALCUL SB &amp; HS'!X17</f>
        <v>#REF!</v>
      </c>
      <c r="P20" s="253">
        <f>+'CALCUL SB &amp; HS'!H17</f>
        <v>0</v>
      </c>
      <c r="Q20" s="255" t="e">
        <f>+'CALCUL SB &amp; HS'!Z17</f>
        <v>#REF!</v>
      </c>
    </row>
    <row r="21" spans="1:17" ht="15.75" thickBot="1" x14ac:dyDescent="0.25">
      <c r="A21" s="201" t="s">
        <v>202</v>
      </c>
      <c r="B21" s="249" t="e">
        <f>+'FICHE SALARIES'!#REF!</f>
        <v>#REF!</v>
      </c>
      <c r="C21" s="250" t="e">
        <f>'FICHE SALARIES'!#REF!</f>
        <v>#REF!</v>
      </c>
      <c r="D21" s="251" t="e">
        <f>'FICHE SALARIES'!#REF!</f>
        <v>#REF!</v>
      </c>
      <c r="E21" s="251" t="e">
        <f>'FICHE SALARIES'!#REF!</f>
        <v>#REF!</v>
      </c>
      <c r="F21" s="250" t="e">
        <f>'FICHE SALARIES'!#REF!</f>
        <v>#REF!</v>
      </c>
      <c r="G21" s="250">
        <v>26</v>
      </c>
      <c r="H21" s="252" t="e">
        <f t="shared" si="0"/>
        <v>#REF!</v>
      </c>
      <c r="I21" s="253" t="e">
        <f>+'CALCUL SB &amp; HS'!Q18</f>
        <v>#REF!</v>
      </c>
      <c r="J21" s="253">
        <v>6000</v>
      </c>
      <c r="K21" s="253" t="e">
        <f>+'CALCUL SB &amp; HS'!V18</f>
        <v>#REF!</v>
      </c>
      <c r="L21" s="254" t="e">
        <f>+'CALCUL SB &amp; HS'!S18</f>
        <v>#REF!</v>
      </c>
      <c r="M21" s="253" t="e">
        <f>+'CALCUL SB &amp; HS'!T18</f>
        <v>#REF!</v>
      </c>
      <c r="N21" s="253" t="e">
        <f>+'CALCUL SB &amp; HS'!U18</f>
        <v>#REF!</v>
      </c>
      <c r="O21" s="253" t="e">
        <f>+'CALCUL SB &amp; HS'!X18</f>
        <v>#REF!</v>
      </c>
      <c r="P21" s="253">
        <f>+'CALCUL SB &amp; HS'!H18</f>
        <v>0</v>
      </c>
      <c r="Q21" s="255" t="e">
        <f>+'CALCUL SB &amp; HS'!Z18</f>
        <v>#REF!</v>
      </c>
    </row>
    <row r="22" spans="1:17" ht="15.75" thickBot="1" x14ac:dyDescent="0.25">
      <c r="A22" s="201" t="s">
        <v>203</v>
      </c>
      <c r="B22" s="249" t="e">
        <f>+'FICHE SALARIES'!#REF!</f>
        <v>#REF!</v>
      </c>
      <c r="C22" s="250" t="e">
        <f>'FICHE SALARIES'!#REF!</f>
        <v>#REF!</v>
      </c>
      <c r="D22" s="251" t="e">
        <f>'FICHE SALARIES'!#REF!</f>
        <v>#REF!</v>
      </c>
      <c r="E22" s="251" t="e">
        <f>'FICHE SALARIES'!#REF!</f>
        <v>#REF!</v>
      </c>
      <c r="F22" s="250" t="e">
        <f>'FICHE SALARIES'!#REF!</f>
        <v>#REF!</v>
      </c>
      <c r="G22" s="250">
        <v>26</v>
      </c>
      <c r="H22" s="252" t="e">
        <f t="shared" si="0"/>
        <v>#REF!</v>
      </c>
      <c r="I22" s="253" t="e">
        <f>+'CALCUL SB &amp; HS'!Q19</f>
        <v>#REF!</v>
      </c>
      <c r="J22" s="253">
        <v>6000</v>
      </c>
      <c r="K22" s="253" t="e">
        <f>+'CALCUL SB &amp; HS'!V19</f>
        <v>#REF!</v>
      </c>
      <c r="L22" s="254" t="e">
        <f>+'CALCUL SB &amp; HS'!S19</f>
        <v>#REF!</v>
      </c>
      <c r="M22" s="253" t="e">
        <f>+'CALCUL SB &amp; HS'!T19</f>
        <v>#REF!</v>
      </c>
      <c r="N22" s="253" t="e">
        <f>+'CALCUL SB &amp; HS'!U19</f>
        <v>#REF!</v>
      </c>
      <c r="O22" s="253" t="e">
        <f>+'CALCUL SB &amp; HS'!X19</f>
        <v>#REF!</v>
      </c>
      <c r="P22" s="253">
        <f>+'CALCUL SB &amp; HS'!H19</f>
        <v>0</v>
      </c>
      <c r="Q22" s="255" t="e">
        <f>+'CALCUL SB &amp; HS'!Z19</f>
        <v>#REF!</v>
      </c>
    </row>
    <row r="23" spans="1:17" ht="15.75" thickBot="1" x14ac:dyDescent="0.25">
      <c r="A23" s="201" t="s">
        <v>204</v>
      </c>
      <c r="B23" s="249" t="e">
        <f>+'FICHE SALARIES'!#REF!</f>
        <v>#REF!</v>
      </c>
      <c r="C23" s="250" t="e">
        <f>'FICHE SALARIES'!#REF!</f>
        <v>#REF!</v>
      </c>
      <c r="D23" s="251" t="e">
        <f>'FICHE SALARIES'!#REF!</f>
        <v>#REF!</v>
      </c>
      <c r="E23" s="251" t="e">
        <f>'FICHE SALARIES'!#REF!</f>
        <v>#REF!</v>
      </c>
      <c r="F23" s="250" t="e">
        <f>'FICHE SALARIES'!#REF!</f>
        <v>#REF!</v>
      </c>
      <c r="G23" s="250">
        <v>26</v>
      </c>
      <c r="H23" s="252" t="e">
        <f t="shared" si="0"/>
        <v>#REF!</v>
      </c>
      <c r="I23" s="253" t="e">
        <f>+'CALCUL SB &amp; HS'!Q20</f>
        <v>#REF!</v>
      </c>
      <c r="J23" s="253">
        <v>6000</v>
      </c>
      <c r="K23" s="253" t="e">
        <f>+'CALCUL SB &amp; HS'!V20</f>
        <v>#REF!</v>
      </c>
      <c r="L23" s="254" t="e">
        <f>+'CALCUL SB &amp; HS'!S20</f>
        <v>#REF!</v>
      </c>
      <c r="M23" s="253" t="e">
        <f>+'CALCUL SB &amp; HS'!T20</f>
        <v>#REF!</v>
      </c>
      <c r="N23" s="253" t="e">
        <f>+'CALCUL SB &amp; HS'!U20</f>
        <v>#REF!</v>
      </c>
      <c r="O23" s="253" t="e">
        <f>+'CALCUL SB &amp; HS'!X20</f>
        <v>#REF!</v>
      </c>
      <c r="P23" s="253">
        <f>+'CALCUL SB &amp; HS'!H20</f>
        <v>0</v>
      </c>
      <c r="Q23" s="255" t="e">
        <f>+'CALCUL SB &amp; HS'!Z20</f>
        <v>#REF!</v>
      </c>
    </row>
    <row r="24" spans="1:17" ht="15.75" thickBot="1" x14ac:dyDescent="0.25">
      <c r="A24" s="202" t="s">
        <v>205</v>
      </c>
      <c r="B24" s="249" t="e">
        <f>+'FICHE SALARIES'!#REF!</f>
        <v>#REF!</v>
      </c>
      <c r="C24" s="250" t="e">
        <f>'FICHE SALARIES'!#REF!</f>
        <v>#REF!</v>
      </c>
      <c r="D24" s="251" t="e">
        <f>'FICHE SALARIES'!#REF!</f>
        <v>#REF!</v>
      </c>
      <c r="E24" s="251" t="e">
        <f>'FICHE SALARIES'!#REF!</f>
        <v>#REF!</v>
      </c>
      <c r="F24" s="250" t="e">
        <f>'FICHE SALARIES'!#REF!</f>
        <v>#REF!</v>
      </c>
      <c r="G24" s="250">
        <v>26</v>
      </c>
      <c r="H24" s="252" t="e">
        <f t="shared" si="0"/>
        <v>#REF!</v>
      </c>
      <c r="I24" s="253" t="e">
        <f>+'CALCUL SB &amp; HS'!Q21</f>
        <v>#REF!</v>
      </c>
      <c r="J24" s="253">
        <v>6000</v>
      </c>
      <c r="K24" s="253" t="e">
        <f>+'CALCUL SB &amp; HS'!V21</f>
        <v>#REF!</v>
      </c>
      <c r="L24" s="254" t="e">
        <f>+'CALCUL SB &amp; HS'!S21</f>
        <v>#REF!</v>
      </c>
      <c r="M24" s="253" t="e">
        <f>+'CALCUL SB &amp; HS'!T21</f>
        <v>#REF!</v>
      </c>
      <c r="N24" s="253" t="e">
        <f>+'CALCUL SB &amp; HS'!U21</f>
        <v>#REF!</v>
      </c>
      <c r="O24" s="253" t="e">
        <f>+'CALCUL SB &amp; HS'!X21</f>
        <v>#REF!</v>
      </c>
      <c r="P24" s="253">
        <f>+'CALCUL SB &amp; HS'!H21</f>
        <v>0</v>
      </c>
      <c r="Q24" s="255" t="e">
        <f>+'CALCUL SB &amp; HS'!Z21</f>
        <v>#REF!</v>
      </c>
    </row>
    <row r="25" spans="1:17" ht="15.75" thickBot="1" x14ac:dyDescent="0.25">
      <c r="A25" s="202" t="s">
        <v>255</v>
      </c>
      <c r="B25" s="269">
        <f>+'FICHE SALARIES'!B12</f>
        <v>0</v>
      </c>
      <c r="C25" s="268">
        <f>'FICHE SALARIES'!C12</f>
        <v>0</v>
      </c>
      <c r="D25" s="251">
        <f>'FICHE SALARIES'!E12</f>
        <v>0</v>
      </c>
      <c r="E25" s="275">
        <f>'FICHE SALARIES'!I12</f>
        <v>0</v>
      </c>
      <c r="F25" s="268">
        <f>'FICHE SALARIES'!J12</f>
        <v>0</v>
      </c>
      <c r="G25" s="268">
        <v>26</v>
      </c>
      <c r="H25" s="252">
        <f t="shared" si="0"/>
        <v>0</v>
      </c>
      <c r="I25" s="253">
        <f>+'CALCUL SB &amp; HS'!Q22</f>
        <v>0</v>
      </c>
      <c r="J25" s="253">
        <v>6000</v>
      </c>
      <c r="K25" s="253">
        <f>+'CALCUL SB &amp; HS'!V22</f>
        <v>0</v>
      </c>
      <c r="L25" s="254">
        <f>+'CALCUL SB &amp; HS'!S22</f>
        <v>0</v>
      </c>
      <c r="M25" s="253">
        <f>+'CALCUL SB &amp; HS'!T22</f>
        <v>0</v>
      </c>
      <c r="N25" s="253">
        <f>+'CALCUL SB &amp; HS'!U22</f>
        <v>0</v>
      </c>
      <c r="O25" s="253">
        <f>+'CALCUL SB &amp; HS'!X22</f>
        <v>0</v>
      </c>
      <c r="P25" s="253">
        <f>+'CALCUL SB &amp; HS'!H22</f>
        <v>0</v>
      </c>
      <c r="Q25" s="255">
        <f>+'CALCUL SB &amp; HS'!Z22</f>
        <v>0</v>
      </c>
    </row>
    <row r="26" spans="1:17" ht="15.75" thickBot="1" x14ac:dyDescent="0.25">
      <c r="A26" s="202" t="s">
        <v>256</v>
      </c>
      <c r="B26" s="269">
        <f>+'FICHE SALARIES'!B13</f>
        <v>0</v>
      </c>
      <c r="C26" s="268">
        <f>'FICHE SALARIES'!C13</f>
        <v>0</v>
      </c>
      <c r="D26" s="251">
        <f>'FICHE SALARIES'!E13</f>
        <v>0</v>
      </c>
      <c r="E26" s="275">
        <f>'FICHE SALARIES'!I13</f>
        <v>0</v>
      </c>
      <c r="F26" s="268">
        <f>'FICHE SALARIES'!J13</f>
        <v>0</v>
      </c>
      <c r="G26" s="268">
        <v>26</v>
      </c>
      <c r="H26" s="252">
        <f t="shared" si="0"/>
        <v>0</v>
      </c>
      <c r="I26" s="253">
        <f>+'CALCUL SB &amp; HS'!Q23</f>
        <v>0</v>
      </c>
      <c r="J26" s="253">
        <v>6000</v>
      </c>
      <c r="K26" s="253">
        <f>+'CALCUL SB &amp; HS'!V23</f>
        <v>0</v>
      </c>
      <c r="L26" s="254">
        <f>+'CALCUL SB &amp; HS'!S23</f>
        <v>0</v>
      </c>
      <c r="M26" s="253">
        <f>+'CALCUL SB &amp; HS'!T23</f>
        <v>0</v>
      </c>
      <c r="N26" s="253">
        <f>+'CALCUL SB &amp; HS'!U23</f>
        <v>0</v>
      </c>
      <c r="O26" s="253">
        <f>+'CALCUL SB &amp; HS'!X23</f>
        <v>0</v>
      </c>
      <c r="P26" s="253">
        <f>+'CALCUL SB &amp; HS'!H23</f>
        <v>0</v>
      </c>
      <c r="Q26" s="255">
        <f>+'CALCUL SB &amp; HS'!Z23</f>
        <v>0</v>
      </c>
    </row>
    <row r="27" spans="1:17" ht="15.75" thickBot="1" x14ac:dyDescent="0.25">
      <c r="A27" s="202" t="s">
        <v>257</v>
      </c>
      <c r="B27" s="269">
        <f>+'FICHE SALARIES'!B14</f>
        <v>0</v>
      </c>
      <c r="C27" s="268">
        <f>'FICHE SALARIES'!C14</f>
        <v>0</v>
      </c>
      <c r="D27" s="251">
        <f>'FICHE SALARIES'!E14</f>
        <v>0</v>
      </c>
      <c r="E27" s="275">
        <f>'FICHE SALARIES'!I14</f>
        <v>0</v>
      </c>
      <c r="F27" s="268">
        <f>'FICHE SALARIES'!J14</f>
        <v>0</v>
      </c>
      <c r="G27" s="268">
        <v>26</v>
      </c>
      <c r="H27" s="252">
        <f t="shared" si="0"/>
        <v>0</v>
      </c>
      <c r="I27" s="253">
        <f>+'CALCUL SB &amp; HS'!Q24</f>
        <v>0</v>
      </c>
      <c r="J27" s="253">
        <v>6000</v>
      </c>
      <c r="K27" s="253">
        <f>+'CALCUL SB &amp; HS'!V24</f>
        <v>0</v>
      </c>
      <c r="L27" s="254">
        <f>+'CALCUL SB &amp; HS'!S24</f>
        <v>0</v>
      </c>
      <c r="M27" s="253">
        <f>+'CALCUL SB &amp; HS'!T24</f>
        <v>0</v>
      </c>
      <c r="N27" s="253">
        <f>+'CALCUL SB &amp; HS'!U24</f>
        <v>0</v>
      </c>
      <c r="O27" s="253">
        <f>+'CALCUL SB &amp; HS'!X24</f>
        <v>0</v>
      </c>
      <c r="P27" s="253">
        <f>+'CALCUL SB &amp; HS'!H24</f>
        <v>0</v>
      </c>
      <c r="Q27" s="255">
        <f>+'CALCUL SB &amp; HS'!Z24</f>
        <v>0</v>
      </c>
    </row>
    <row r="28" spans="1:17" ht="15.75" thickBot="1" x14ac:dyDescent="0.25">
      <c r="A28" s="202" t="s">
        <v>258</v>
      </c>
      <c r="B28" s="269">
        <f>+'FICHE SALARIES'!B15</f>
        <v>0</v>
      </c>
      <c r="C28" s="268">
        <f>'FICHE SALARIES'!C15</f>
        <v>0</v>
      </c>
      <c r="D28" s="251">
        <f>'FICHE SALARIES'!E15</f>
        <v>0</v>
      </c>
      <c r="E28" s="275">
        <f>'FICHE SALARIES'!I15</f>
        <v>0</v>
      </c>
      <c r="F28" s="268">
        <f>'FICHE SALARIES'!J15</f>
        <v>0</v>
      </c>
      <c r="G28" s="268">
        <v>26</v>
      </c>
      <c r="H28" s="252">
        <f t="shared" si="0"/>
        <v>0</v>
      </c>
      <c r="I28" s="253">
        <f>+'CALCUL SB &amp; HS'!Q25</f>
        <v>0</v>
      </c>
      <c r="J28" s="253">
        <v>6000</v>
      </c>
      <c r="K28" s="253">
        <f>+'CALCUL SB &amp; HS'!V25</f>
        <v>0</v>
      </c>
      <c r="L28" s="254">
        <f>+'CALCUL SB &amp; HS'!S25</f>
        <v>0</v>
      </c>
      <c r="M28" s="253">
        <f>+'CALCUL SB &amp; HS'!T25</f>
        <v>0</v>
      </c>
      <c r="N28" s="253">
        <f>+'CALCUL SB &amp; HS'!U25</f>
        <v>0</v>
      </c>
      <c r="O28" s="253">
        <f>+'CALCUL SB &amp; HS'!X25</f>
        <v>0</v>
      </c>
      <c r="P28" s="253">
        <f>+'CALCUL SB &amp; HS'!H25</f>
        <v>0</v>
      </c>
      <c r="Q28" s="255">
        <f>+'CALCUL SB &amp; HS'!Z25</f>
        <v>0</v>
      </c>
    </row>
    <row r="29" spans="1:17" ht="15.75" thickBot="1" x14ac:dyDescent="0.25">
      <c r="A29" s="202" t="s">
        <v>259</v>
      </c>
      <c r="B29" s="269">
        <f>+'FICHE SALARIES'!B16</f>
        <v>0</v>
      </c>
      <c r="C29" s="268">
        <f>'FICHE SALARIES'!C16</f>
        <v>0</v>
      </c>
      <c r="D29" s="251">
        <f>'FICHE SALARIES'!E16</f>
        <v>0</v>
      </c>
      <c r="E29" s="275">
        <f>'FICHE SALARIES'!I16</f>
        <v>0</v>
      </c>
      <c r="F29" s="268">
        <f>'FICHE SALARIES'!J16</f>
        <v>0</v>
      </c>
      <c r="G29" s="268">
        <v>26</v>
      </c>
      <c r="H29" s="252">
        <f t="shared" si="0"/>
        <v>0</v>
      </c>
      <c r="I29" s="253">
        <f>+'CALCUL SB &amp; HS'!Q26</f>
        <v>0</v>
      </c>
      <c r="J29" s="253">
        <v>6000</v>
      </c>
      <c r="K29" s="253">
        <f>+'CALCUL SB &amp; HS'!V26</f>
        <v>0</v>
      </c>
      <c r="L29" s="254">
        <f>+'CALCUL SB &amp; HS'!S26</f>
        <v>0</v>
      </c>
      <c r="M29" s="253">
        <f>+'CALCUL SB &amp; HS'!T26</f>
        <v>0</v>
      </c>
      <c r="N29" s="253">
        <f>+'CALCUL SB &amp; HS'!U26</f>
        <v>0</v>
      </c>
      <c r="O29" s="253">
        <f>+'CALCUL SB &amp; HS'!X26</f>
        <v>0</v>
      </c>
      <c r="P29" s="253">
        <f>+'CALCUL SB &amp; HS'!H26</f>
        <v>0</v>
      </c>
      <c r="Q29" s="255">
        <f>+'CALCUL SB &amp; HS'!Z26</f>
        <v>0</v>
      </c>
    </row>
    <row r="30" spans="1:17" ht="15.75" thickBot="1" x14ac:dyDescent="0.25">
      <c r="A30" s="202" t="s">
        <v>260</v>
      </c>
      <c r="B30" s="269">
        <f>+'FICHE SALARIES'!B17</f>
        <v>0</v>
      </c>
      <c r="C30" s="268">
        <f>'FICHE SALARIES'!C17</f>
        <v>0</v>
      </c>
      <c r="D30" s="251">
        <f>'FICHE SALARIES'!E17</f>
        <v>0</v>
      </c>
      <c r="E30" s="275">
        <f>'FICHE SALARIES'!I17</f>
        <v>0</v>
      </c>
      <c r="F30" s="268">
        <f>'FICHE SALARIES'!J17</f>
        <v>0</v>
      </c>
      <c r="G30" s="268">
        <v>26</v>
      </c>
      <c r="H30" s="252">
        <f t="shared" si="0"/>
        <v>0</v>
      </c>
      <c r="I30" s="253">
        <f>+'CALCUL SB &amp; HS'!Q27</f>
        <v>0</v>
      </c>
      <c r="J30" s="253">
        <v>6000</v>
      </c>
      <c r="K30" s="253">
        <f>+'CALCUL SB &amp; HS'!V27</f>
        <v>0</v>
      </c>
      <c r="L30" s="254">
        <f>+'CALCUL SB &amp; HS'!S27</f>
        <v>0</v>
      </c>
      <c r="M30" s="253">
        <f>+'CALCUL SB &amp; HS'!T27</f>
        <v>0</v>
      </c>
      <c r="N30" s="253">
        <f>+'CALCUL SB &amp; HS'!U27</f>
        <v>0</v>
      </c>
      <c r="O30" s="253">
        <f>+'CALCUL SB &amp; HS'!X27</f>
        <v>0</v>
      </c>
      <c r="P30" s="253">
        <f>+'CALCUL SB &amp; HS'!H27</f>
        <v>0</v>
      </c>
      <c r="Q30" s="255">
        <f>+'CALCUL SB &amp; HS'!Z27</f>
        <v>0</v>
      </c>
    </row>
    <row r="31" spans="1:17" ht="15.75" thickBot="1" x14ac:dyDescent="0.25">
      <c r="A31" s="202" t="s">
        <v>261</v>
      </c>
      <c r="B31" s="269">
        <f>+'FICHE SALARIES'!B18</f>
        <v>0</v>
      </c>
      <c r="C31" s="268">
        <f>'FICHE SALARIES'!C18</f>
        <v>0</v>
      </c>
      <c r="D31" s="251">
        <f>'FICHE SALARIES'!E18</f>
        <v>0</v>
      </c>
      <c r="E31" s="275">
        <f>'FICHE SALARIES'!I18</f>
        <v>0</v>
      </c>
      <c r="F31" s="268">
        <f>'FICHE SALARIES'!J18</f>
        <v>0</v>
      </c>
      <c r="G31" s="268">
        <v>26</v>
      </c>
      <c r="H31" s="252">
        <f t="shared" si="0"/>
        <v>0</v>
      </c>
      <c r="I31" s="253">
        <f>+'CALCUL SB &amp; HS'!Q28</f>
        <v>0</v>
      </c>
      <c r="J31" s="253">
        <v>6000</v>
      </c>
      <c r="K31" s="253">
        <f>+'CALCUL SB &amp; HS'!V28</f>
        <v>0</v>
      </c>
      <c r="L31" s="254">
        <f>+'CALCUL SB &amp; HS'!S28</f>
        <v>0</v>
      </c>
      <c r="M31" s="253">
        <f>+'CALCUL SB &amp; HS'!T28</f>
        <v>0</v>
      </c>
      <c r="N31" s="253">
        <f>+'CALCUL SB &amp; HS'!U28</f>
        <v>0</v>
      </c>
      <c r="O31" s="253">
        <f>+'CALCUL SB &amp; HS'!X28</f>
        <v>0</v>
      </c>
      <c r="P31" s="253">
        <f>+'CALCUL SB &amp; HS'!H28</f>
        <v>0</v>
      </c>
      <c r="Q31" s="255">
        <f>+'CALCUL SB &amp; HS'!Z28</f>
        <v>0</v>
      </c>
    </row>
    <row r="32" spans="1:17" ht="15.75" thickBot="1" x14ac:dyDescent="0.25">
      <c r="A32" s="202" t="s">
        <v>262</v>
      </c>
      <c r="B32" s="269">
        <f>+'FICHE SALARIES'!B19</f>
        <v>0</v>
      </c>
      <c r="C32" s="268">
        <f>'FICHE SALARIES'!C19</f>
        <v>0</v>
      </c>
      <c r="D32" s="251">
        <f>'FICHE SALARIES'!E19</f>
        <v>0</v>
      </c>
      <c r="E32" s="275">
        <f>'FICHE SALARIES'!I19</f>
        <v>0</v>
      </c>
      <c r="F32" s="268">
        <f>'FICHE SALARIES'!J19</f>
        <v>0</v>
      </c>
      <c r="G32" s="268">
        <v>26</v>
      </c>
      <c r="H32" s="252">
        <f t="shared" si="0"/>
        <v>0</v>
      </c>
      <c r="I32" s="253">
        <f>+'CALCUL SB &amp; HS'!Q29</f>
        <v>0</v>
      </c>
      <c r="J32" s="253">
        <v>6000</v>
      </c>
      <c r="K32" s="253">
        <f>+'CALCUL SB &amp; HS'!V29</f>
        <v>0</v>
      </c>
      <c r="L32" s="254">
        <f>+'CALCUL SB &amp; HS'!S29</f>
        <v>0</v>
      </c>
      <c r="M32" s="253">
        <f>+'CALCUL SB &amp; HS'!T29</f>
        <v>0</v>
      </c>
      <c r="N32" s="253">
        <f>+'CALCUL SB &amp; HS'!U29</f>
        <v>0</v>
      </c>
      <c r="O32" s="253">
        <f>+'CALCUL SB &amp; HS'!X29</f>
        <v>0</v>
      </c>
      <c r="P32" s="253">
        <f>+'CALCUL SB &amp; HS'!H29</f>
        <v>0</v>
      </c>
      <c r="Q32" s="255">
        <f>+'CALCUL SB &amp; HS'!Z29</f>
        <v>0</v>
      </c>
    </row>
    <row r="33" spans="1:17" ht="15.75" thickBot="1" x14ac:dyDescent="0.25">
      <c r="A33" s="256"/>
      <c r="B33" s="249"/>
      <c r="C33" s="257"/>
      <c r="D33" s="257"/>
      <c r="E33" s="257"/>
      <c r="F33" s="257"/>
      <c r="G33" s="257"/>
      <c r="H33" s="257"/>
      <c r="I33" s="258"/>
      <c r="J33" s="258"/>
      <c r="K33" s="258"/>
      <c r="L33" s="258"/>
      <c r="M33" s="258"/>
      <c r="N33" s="253"/>
      <c r="O33" s="258"/>
      <c r="P33" s="258"/>
      <c r="Q33" s="255"/>
    </row>
    <row r="34" spans="1:17" ht="15.75" thickBot="1" x14ac:dyDescent="0.25">
      <c r="A34" s="259"/>
      <c r="B34" s="260" t="s">
        <v>72</v>
      </c>
      <c r="C34" s="257"/>
      <c r="D34" s="257"/>
      <c r="E34" s="257"/>
      <c r="F34" s="257"/>
      <c r="G34" s="257"/>
      <c r="H34" s="257"/>
      <c r="I34" s="258"/>
      <c r="J34" s="258"/>
      <c r="K34" s="258"/>
      <c r="L34" s="258"/>
      <c r="M34" s="258"/>
      <c r="N34" s="253"/>
      <c r="O34" s="258"/>
      <c r="P34" s="258"/>
      <c r="Q34" s="257"/>
    </row>
    <row r="38" spans="1:17" ht="15.75" thickBot="1" x14ac:dyDescent="0.25">
      <c r="I38" s="231"/>
    </row>
    <row r="39" spans="1:17" ht="21.75" thickBot="1" x14ac:dyDescent="0.35">
      <c r="F39" s="261" t="s">
        <v>252</v>
      </c>
      <c r="G39" s="246"/>
      <c r="H39" s="246"/>
      <c r="I39" s="246"/>
      <c r="J39" s="262"/>
    </row>
    <row r="40" spans="1:17" ht="15.75" thickBot="1" x14ac:dyDescent="0.25"/>
    <row r="41" spans="1:17" ht="21.75" thickBot="1" x14ac:dyDescent="0.35">
      <c r="F41" s="261" t="s">
        <v>253</v>
      </c>
      <c r="G41" s="245"/>
      <c r="H41" s="245"/>
      <c r="I41" s="245"/>
      <c r="J41" s="245"/>
      <c r="K41" s="244"/>
    </row>
  </sheetData>
  <sheetProtection password="C980" sheet="1" objects="1" scenarios="1" insertColumns="0" deleteColumns="0" deleteRows="0"/>
  <mergeCells count="13">
    <mergeCell ref="A6:A7"/>
    <mergeCell ref="Q6:Q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O6"/>
    <mergeCell ref="P6:P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/>
  <dimension ref="A3:G55"/>
  <sheetViews>
    <sheetView tabSelected="1" topLeftCell="A13" workbookViewId="0">
      <selection activeCell="B48" sqref="B48"/>
    </sheetView>
  </sheetViews>
  <sheetFormatPr defaultColWidth="24.34765625" defaultRowHeight="15" x14ac:dyDescent="0.2"/>
  <cols>
    <col min="1" max="1" width="29.45703125" style="24" customWidth="1"/>
    <col min="2" max="5" width="24.34765625" style="24"/>
    <col min="6" max="6" width="25.9609375" style="24" bestFit="1" customWidth="1"/>
    <col min="7" max="16384" width="24.34765625" style="24"/>
  </cols>
  <sheetData>
    <row r="3" spans="1:6" ht="21" thickBot="1" x14ac:dyDescent="0.25">
      <c r="A3" s="116"/>
      <c r="B3" s="117"/>
      <c r="C3" s="117"/>
      <c r="D3" s="117"/>
      <c r="E3" s="118" t="s">
        <v>287</v>
      </c>
      <c r="F3" s="282">
        <f ca="1">TODAY()</f>
        <v>45496</v>
      </c>
    </row>
    <row r="4" spans="1:6" ht="20.25" x14ac:dyDescent="0.2">
      <c r="A4" s="119"/>
      <c r="B4" s="120"/>
      <c r="C4" s="120"/>
      <c r="D4" s="120"/>
      <c r="E4" s="121"/>
      <c r="F4" s="121"/>
    </row>
    <row r="5" spans="1:6" ht="20.25" x14ac:dyDescent="0.2">
      <c r="A5" s="116"/>
      <c r="B5" s="117"/>
      <c r="C5" s="117"/>
      <c r="D5" s="117"/>
    </row>
    <row r="6" spans="1:6" ht="20.25" x14ac:dyDescent="0.2">
      <c r="A6" s="116"/>
      <c r="B6" s="117"/>
      <c r="C6" s="117"/>
      <c r="D6" s="117"/>
    </row>
    <row r="7" spans="1:6" ht="18" x14ac:dyDescent="0.2">
      <c r="C7" s="122"/>
      <c r="D7" s="123"/>
      <c r="E7" s="124" t="s">
        <v>124</v>
      </c>
      <c r="F7" s="280">
        <v>42522</v>
      </c>
    </row>
    <row r="8" spans="1:6" x14ac:dyDescent="0.2">
      <c r="A8" s="437" t="s">
        <v>125</v>
      </c>
      <c r="B8" s="438" t="s">
        <v>126</v>
      </c>
      <c r="C8" s="438" t="s">
        <v>127</v>
      </c>
      <c r="D8" s="437" t="s">
        <v>128</v>
      </c>
      <c r="E8" s="436" t="s">
        <v>129</v>
      </c>
      <c r="F8" s="436"/>
    </row>
    <row r="9" spans="1:6" ht="36" customHeight="1" x14ac:dyDescent="0.2">
      <c r="A9" s="437"/>
      <c r="B9" s="438"/>
      <c r="C9" s="438"/>
      <c r="D9" s="437"/>
      <c r="E9" s="125" t="s">
        <v>130</v>
      </c>
      <c r="F9" s="125" t="s">
        <v>131</v>
      </c>
    </row>
    <row r="10" spans="1:6" x14ac:dyDescent="0.2">
      <c r="A10" s="126" t="str">
        <f>'FICHE SALARIES'!B7</f>
        <v>SALMI AMIN</v>
      </c>
      <c r="B10" s="127">
        <f>'FICHE SALARIES'!K7</f>
        <v>225147</v>
      </c>
      <c r="C10" s="128">
        <f>'FICHE SALARIES'!E7</f>
        <v>40634</v>
      </c>
      <c r="D10" s="129">
        <v>26</v>
      </c>
      <c r="E10" s="130">
        <f>'CALCUL SB &amp; HS'!Q5</f>
        <v>4487</v>
      </c>
      <c r="F10" s="131">
        <f>IF(E10&gt;=6000,6000,E10)</f>
        <v>4487</v>
      </c>
    </row>
    <row r="11" spans="1:6" x14ac:dyDescent="0.2">
      <c r="A11" s="126" t="str">
        <f>'FICHE SALARIES'!B8</f>
        <v>ABDNABI LBAYAD</v>
      </c>
      <c r="B11" s="127">
        <f>'FICHE SALARIES'!K8</f>
        <v>326518</v>
      </c>
      <c r="C11" s="128">
        <f>'FICHE SALARIES'!E8</f>
        <v>39965</v>
      </c>
      <c r="D11" s="129">
        <v>26</v>
      </c>
      <c r="E11" s="130">
        <f>'CALCUL SB &amp; HS'!Q6</f>
        <v>5275</v>
      </c>
      <c r="F11" s="131">
        <f>IF(E11&gt;=6000,6000,E11)</f>
        <v>5275</v>
      </c>
    </row>
    <row r="12" spans="1:6" x14ac:dyDescent="0.2">
      <c r="A12" s="126" t="str">
        <f>'FICHE SALARIES'!B9</f>
        <v>AMIN AMIN</v>
      </c>
      <c r="B12" s="127">
        <f>'FICHE SALARIES'!K9</f>
        <v>261542</v>
      </c>
      <c r="C12" s="128">
        <f>'FICHE SALARIES'!E9</f>
        <v>41030</v>
      </c>
      <c r="D12" s="129">
        <v>26</v>
      </c>
      <c r="E12" s="130">
        <f>'CALCUL SB &amp; HS'!Q7</f>
        <v>5250</v>
      </c>
      <c r="F12" s="131">
        <f t="shared" ref="F12:F34" si="0">IF(E12&gt;=6000,6000,E12)</f>
        <v>5250</v>
      </c>
    </row>
    <row r="13" spans="1:6" x14ac:dyDescent="0.2">
      <c r="A13" s="126" t="str">
        <f>'FICHE SALARIES'!B10</f>
        <v>ACHRAF LKHAL</v>
      </c>
      <c r="B13" s="127">
        <f>'FICHE SALARIES'!K10</f>
        <v>251430</v>
      </c>
      <c r="C13" s="128">
        <f>'FICHE SALARIES'!E10</f>
        <v>36679</v>
      </c>
      <c r="D13" s="129">
        <v>26</v>
      </c>
      <c r="E13" s="130">
        <f>'CALCUL SB &amp; HS'!Q8</f>
        <v>3450</v>
      </c>
      <c r="F13" s="131">
        <f t="shared" si="0"/>
        <v>3450</v>
      </c>
    </row>
    <row r="14" spans="1:6" x14ac:dyDescent="0.2">
      <c r="A14" s="126" t="str">
        <f>'FICHE SALARIES'!B11</f>
        <v>ADIL ADIL</v>
      </c>
      <c r="B14" s="127">
        <f>'FICHE SALARIES'!K11</f>
        <v>265143</v>
      </c>
      <c r="C14" s="128">
        <f>'FICHE SALARIES'!E11</f>
        <v>37012</v>
      </c>
      <c r="D14" s="129">
        <v>26</v>
      </c>
      <c r="E14" s="130">
        <f>'CALCUL SB &amp; HS'!Q9</f>
        <v>3608</v>
      </c>
      <c r="F14" s="131">
        <f t="shared" si="0"/>
        <v>3608</v>
      </c>
    </row>
    <row r="15" spans="1:6" x14ac:dyDescent="0.2">
      <c r="A15" s="126" t="e">
        <f>'FICHE SALARIES'!#REF!</f>
        <v>#REF!</v>
      </c>
      <c r="B15" s="127" t="e">
        <f>'FICHE SALARIES'!#REF!</f>
        <v>#REF!</v>
      </c>
      <c r="C15" s="128" t="e">
        <f>'FICHE SALARIES'!#REF!</f>
        <v>#REF!</v>
      </c>
      <c r="D15" s="129">
        <v>26</v>
      </c>
      <c r="E15" s="130" t="e">
        <f>'CALCUL SB &amp; HS'!Q10</f>
        <v>#REF!</v>
      </c>
      <c r="F15" s="131" t="e">
        <f t="shared" si="0"/>
        <v>#REF!</v>
      </c>
    </row>
    <row r="16" spans="1:6" x14ac:dyDescent="0.2">
      <c r="A16" s="126" t="e">
        <f>'FICHE SALARIES'!#REF!</f>
        <v>#REF!</v>
      </c>
      <c r="B16" s="127" t="e">
        <f>'FICHE SALARIES'!#REF!</f>
        <v>#REF!</v>
      </c>
      <c r="C16" s="128" t="e">
        <f>'FICHE SALARIES'!#REF!</f>
        <v>#REF!</v>
      </c>
      <c r="D16" s="129">
        <v>26</v>
      </c>
      <c r="E16" s="130" t="e">
        <f>'CALCUL SB &amp; HS'!Q11</f>
        <v>#REF!</v>
      </c>
      <c r="F16" s="131" t="e">
        <f t="shared" si="0"/>
        <v>#REF!</v>
      </c>
    </row>
    <row r="17" spans="1:6" x14ac:dyDescent="0.2">
      <c r="A17" s="126" t="e">
        <f>'FICHE SALARIES'!#REF!</f>
        <v>#REF!</v>
      </c>
      <c r="B17" s="127" t="e">
        <f>'FICHE SALARIES'!#REF!</f>
        <v>#REF!</v>
      </c>
      <c r="C17" s="128" t="e">
        <f>'FICHE SALARIES'!#REF!</f>
        <v>#REF!</v>
      </c>
      <c r="D17" s="129">
        <v>26</v>
      </c>
      <c r="E17" s="130" t="e">
        <f>'CALCUL SB &amp; HS'!Q12</f>
        <v>#REF!</v>
      </c>
      <c r="F17" s="131" t="e">
        <f t="shared" si="0"/>
        <v>#REF!</v>
      </c>
    </row>
    <row r="18" spans="1:6" x14ac:dyDescent="0.2">
      <c r="A18" s="126" t="e">
        <f>'FICHE SALARIES'!#REF!</f>
        <v>#REF!</v>
      </c>
      <c r="B18" s="127" t="e">
        <f>'FICHE SALARIES'!#REF!</f>
        <v>#REF!</v>
      </c>
      <c r="C18" s="128" t="e">
        <f>'FICHE SALARIES'!#REF!</f>
        <v>#REF!</v>
      </c>
      <c r="D18" s="129">
        <v>26</v>
      </c>
      <c r="E18" s="130" t="e">
        <f>'CALCUL SB &amp; HS'!Q13</f>
        <v>#REF!</v>
      </c>
      <c r="F18" s="131" t="e">
        <f t="shared" si="0"/>
        <v>#REF!</v>
      </c>
    </row>
    <row r="19" spans="1:6" x14ac:dyDescent="0.2">
      <c r="A19" s="126" t="e">
        <f>'FICHE SALARIES'!#REF!</f>
        <v>#REF!</v>
      </c>
      <c r="B19" s="127" t="e">
        <f>'FICHE SALARIES'!#REF!</f>
        <v>#REF!</v>
      </c>
      <c r="C19" s="128" t="e">
        <f>'FICHE SALARIES'!#REF!</f>
        <v>#REF!</v>
      </c>
      <c r="D19" s="129">
        <v>26</v>
      </c>
      <c r="E19" s="130" t="e">
        <f>'CALCUL SB &amp; HS'!Q14</f>
        <v>#REF!</v>
      </c>
      <c r="F19" s="131" t="e">
        <f t="shared" si="0"/>
        <v>#REF!</v>
      </c>
    </row>
    <row r="20" spans="1:6" x14ac:dyDescent="0.2">
      <c r="A20" s="126" t="e">
        <f>'FICHE SALARIES'!#REF!</f>
        <v>#REF!</v>
      </c>
      <c r="B20" s="127" t="e">
        <f>'FICHE SALARIES'!#REF!</f>
        <v>#REF!</v>
      </c>
      <c r="C20" s="128" t="e">
        <f>'FICHE SALARIES'!#REF!</f>
        <v>#REF!</v>
      </c>
      <c r="D20" s="129">
        <v>26</v>
      </c>
      <c r="E20" s="130" t="e">
        <f>'CALCUL SB &amp; HS'!Q15</f>
        <v>#REF!</v>
      </c>
      <c r="F20" s="131" t="e">
        <f t="shared" si="0"/>
        <v>#REF!</v>
      </c>
    </row>
    <row r="21" spans="1:6" x14ac:dyDescent="0.2">
      <c r="A21" s="126" t="e">
        <f>'FICHE SALARIES'!#REF!</f>
        <v>#REF!</v>
      </c>
      <c r="B21" s="127" t="e">
        <f>'FICHE SALARIES'!#REF!</f>
        <v>#REF!</v>
      </c>
      <c r="C21" s="128" t="e">
        <f>'FICHE SALARIES'!#REF!</f>
        <v>#REF!</v>
      </c>
      <c r="D21" s="129">
        <v>26</v>
      </c>
      <c r="E21" s="130" t="e">
        <f>'CALCUL SB &amp; HS'!Q16</f>
        <v>#REF!</v>
      </c>
      <c r="F21" s="131" t="e">
        <f t="shared" si="0"/>
        <v>#REF!</v>
      </c>
    </row>
    <row r="22" spans="1:6" x14ac:dyDescent="0.2">
      <c r="A22" s="126" t="e">
        <f>'FICHE SALARIES'!#REF!</f>
        <v>#REF!</v>
      </c>
      <c r="B22" s="127" t="e">
        <f>'FICHE SALARIES'!#REF!</f>
        <v>#REF!</v>
      </c>
      <c r="C22" s="128" t="e">
        <f>'FICHE SALARIES'!#REF!</f>
        <v>#REF!</v>
      </c>
      <c r="D22" s="129">
        <v>26</v>
      </c>
      <c r="E22" s="130" t="e">
        <f>'CALCUL SB &amp; HS'!Q17</f>
        <v>#REF!</v>
      </c>
      <c r="F22" s="131" t="e">
        <f t="shared" si="0"/>
        <v>#REF!</v>
      </c>
    </row>
    <row r="23" spans="1:6" x14ac:dyDescent="0.2">
      <c r="A23" s="126" t="e">
        <f>'FICHE SALARIES'!#REF!</f>
        <v>#REF!</v>
      </c>
      <c r="B23" s="127" t="e">
        <f>'FICHE SALARIES'!#REF!</f>
        <v>#REF!</v>
      </c>
      <c r="C23" s="128" t="e">
        <f>'FICHE SALARIES'!#REF!</f>
        <v>#REF!</v>
      </c>
      <c r="D23" s="129">
        <v>26</v>
      </c>
      <c r="E23" s="130" t="e">
        <f>'CALCUL SB &amp; HS'!Q18</f>
        <v>#REF!</v>
      </c>
      <c r="F23" s="131" t="e">
        <f t="shared" si="0"/>
        <v>#REF!</v>
      </c>
    </row>
    <row r="24" spans="1:6" x14ac:dyDescent="0.2">
      <c r="A24" s="126" t="e">
        <f>'FICHE SALARIES'!#REF!</f>
        <v>#REF!</v>
      </c>
      <c r="B24" s="127" t="e">
        <f>'FICHE SALARIES'!#REF!</f>
        <v>#REF!</v>
      </c>
      <c r="C24" s="128" t="e">
        <f>'FICHE SALARIES'!#REF!</f>
        <v>#REF!</v>
      </c>
      <c r="D24" s="129">
        <v>26</v>
      </c>
      <c r="E24" s="130" t="e">
        <f>'CALCUL SB &amp; HS'!Q19</f>
        <v>#REF!</v>
      </c>
      <c r="F24" s="131" t="e">
        <f t="shared" si="0"/>
        <v>#REF!</v>
      </c>
    </row>
    <row r="25" spans="1:6" x14ac:dyDescent="0.2">
      <c r="A25" s="126" t="e">
        <f>'FICHE SALARIES'!#REF!</f>
        <v>#REF!</v>
      </c>
      <c r="B25" s="127" t="e">
        <f>'FICHE SALARIES'!#REF!</f>
        <v>#REF!</v>
      </c>
      <c r="C25" s="128" t="e">
        <f>'FICHE SALARIES'!#REF!</f>
        <v>#REF!</v>
      </c>
      <c r="D25" s="129">
        <v>26</v>
      </c>
      <c r="E25" s="130" t="e">
        <f>'CALCUL SB &amp; HS'!Q20</f>
        <v>#REF!</v>
      </c>
      <c r="F25" s="131" t="e">
        <f t="shared" si="0"/>
        <v>#REF!</v>
      </c>
    </row>
    <row r="26" spans="1:6" x14ac:dyDescent="0.2">
      <c r="A26" s="277" t="e">
        <f>'FICHE SALARIES'!#REF!</f>
        <v>#REF!</v>
      </c>
      <c r="B26" s="127" t="e">
        <f>'FICHE SALARIES'!#REF!</f>
        <v>#REF!</v>
      </c>
      <c r="C26" s="128" t="e">
        <f>'FICHE SALARIES'!#REF!</f>
        <v>#REF!</v>
      </c>
      <c r="D26" s="129">
        <v>26</v>
      </c>
      <c r="E26" s="130" t="e">
        <f>'CALCUL SB &amp; HS'!Q21</f>
        <v>#REF!</v>
      </c>
      <c r="F26" s="131" t="e">
        <f t="shared" si="0"/>
        <v>#REF!</v>
      </c>
    </row>
    <row r="27" spans="1:6" x14ac:dyDescent="0.2">
      <c r="A27" s="277">
        <f>'FICHE SALARIES'!B12</f>
        <v>0</v>
      </c>
      <c r="B27" s="127">
        <f>'FICHE SALARIES'!K12</f>
        <v>0</v>
      </c>
      <c r="C27" s="128">
        <f>'FICHE SALARIES'!E12</f>
        <v>0</v>
      </c>
      <c r="D27" s="129">
        <v>26</v>
      </c>
      <c r="E27" s="130">
        <f>'CALCUL SB &amp; HS'!Q22</f>
        <v>0</v>
      </c>
      <c r="F27" s="131">
        <f t="shared" si="0"/>
        <v>0</v>
      </c>
    </row>
    <row r="28" spans="1:6" x14ac:dyDescent="0.2">
      <c r="A28" s="277">
        <f>'FICHE SALARIES'!B13</f>
        <v>0</v>
      </c>
      <c r="B28" s="127">
        <f>'FICHE SALARIES'!K13</f>
        <v>0</v>
      </c>
      <c r="C28" s="128">
        <f>'FICHE SALARIES'!E13</f>
        <v>0</v>
      </c>
      <c r="D28" s="129">
        <v>26</v>
      </c>
      <c r="E28" s="130">
        <f>'CALCUL SB &amp; HS'!Q23</f>
        <v>0</v>
      </c>
      <c r="F28" s="131">
        <f t="shared" si="0"/>
        <v>0</v>
      </c>
    </row>
    <row r="29" spans="1:6" x14ac:dyDescent="0.2">
      <c r="A29" s="277">
        <f>'FICHE SALARIES'!B14</f>
        <v>0</v>
      </c>
      <c r="B29" s="127">
        <f>'FICHE SALARIES'!K14</f>
        <v>0</v>
      </c>
      <c r="C29" s="128">
        <f>'FICHE SALARIES'!E14</f>
        <v>0</v>
      </c>
      <c r="D29" s="129">
        <v>26</v>
      </c>
      <c r="E29" s="130">
        <f>'CALCUL SB &amp; HS'!Q24</f>
        <v>0</v>
      </c>
      <c r="F29" s="131">
        <f t="shared" si="0"/>
        <v>0</v>
      </c>
    </row>
    <row r="30" spans="1:6" x14ac:dyDescent="0.2">
      <c r="A30" s="277">
        <f>'FICHE SALARIES'!B15</f>
        <v>0</v>
      </c>
      <c r="B30" s="127">
        <f>'FICHE SALARIES'!K15</f>
        <v>0</v>
      </c>
      <c r="C30" s="128">
        <f>'FICHE SALARIES'!E15</f>
        <v>0</v>
      </c>
      <c r="D30" s="129">
        <v>26</v>
      </c>
      <c r="E30" s="130">
        <f>'CALCUL SB &amp; HS'!Q25</f>
        <v>0</v>
      </c>
      <c r="F30" s="131">
        <f t="shared" si="0"/>
        <v>0</v>
      </c>
    </row>
    <row r="31" spans="1:6" x14ac:dyDescent="0.2">
      <c r="A31" s="277">
        <f>'FICHE SALARIES'!B16</f>
        <v>0</v>
      </c>
      <c r="B31" s="127">
        <f>'FICHE SALARIES'!K16</f>
        <v>0</v>
      </c>
      <c r="C31" s="128">
        <f>'FICHE SALARIES'!E16</f>
        <v>0</v>
      </c>
      <c r="D31" s="129">
        <v>26</v>
      </c>
      <c r="E31" s="130">
        <f>'CALCUL SB &amp; HS'!Q26</f>
        <v>0</v>
      </c>
      <c r="F31" s="131">
        <f t="shared" si="0"/>
        <v>0</v>
      </c>
    </row>
    <row r="32" spans="1:6" x14ac:dyDescent="0.2">
      <c r="A32" s="277">
        <f>'FICHE SALARIES'!B17</f>
        <v>0</v>
      </c>
      <c r="B32" s="127">
        <f>'FICHE SALARIES'!K17</f>
        <v>0</v>
      </c>
      <c r="C32" s="128">
        <f>'FICHE SALARIES'!E17</f>
        <v>0</v>
      </c>
      <c r="D32" s="129">
        <v>26</v>
      </c>
      <c r="E32" s="130">
        <f>'CALCUL SB &amp; HS'!Q27</f>
        <v>0</v>
      </c>
      <c r="F32" s="131">
        <f t="shared" si="0"/>
        <v>0</v>
      </c>
    </row>
    <row r="33" spans="1:6" x14ac:dyDescent="0.2">
      <c r="A33" s="277">
        <f>'FICHE SALARIES'!B18</f>
        <v>0</v>
      </c>
      <c r="B33" s="127">
        <f>'FICHE SALARIES'!K18</f>
        <v>0</v>
      </c>
      <c r="C33" s="128">
        <f>'FICHE SALARIES'!E18</f>
        <v>0</v>
      </c>
      <c r="D33" s="129">
        <v>26</v>
      </c>
      <c r="E33" s="130">
        <f>'CALCUL SB &amp; HS'!Q28</f>
        <v>0</v>
      </c>
      <c r="F33" s="131">
        <f t="shared" si="0"/>
        <v>0</v>
      </c>
    </row>
    <row r="34" spans="1:6" x14ac:dyDescent="0.2">
      <c r="A34" s="277">
        <f>'FICHE SALARIES'!B19</f>
        <v>0</v>
      </c>
      <c r="B34" s="127">
        <f>'FICHE SALARIES'!K19</f>
        <v>0</v>
      </c>
      <c r="C34" s="128">
        <f>'FICHE SALARIES'!E19</f>
        <v>0</v>
      </c>
      <c r="D34" s="129">
        <v>26</v>
      </c>
      <c r="E34" s="130">
        <f>'CALCUL SB &amp; HS'!Q29</f>
        <v>0</v>
      </c>
      <c r="F34" s="131">
        <f t="shared" si="0"/>
        <v>0</v>
      </c>
    </row>
    <row r="35" spans="1:6" x14ac:dyDescent="0.2">
      <c r="A35" s="126"/>
      <c r="B35" s="127"/>
      <c r="C35" s="276"/>
      <c r="D35" s="129"/>
      <c r="E35" s="130"/>
      <c r="F35" s="131"/>
    </row>
    <row r="36" spans="1:6" x14ac:dyDescent="0.2">
      <c r="A36" s="435" t="s">
        <v>132</v>
      </c>
      <c r="B36" s="435"/>
      <c r="C36" s="132"/>
      <c r="D36" s="133"/>
      <c r="E36" s="130" t="e">
        <f>SUM(E10:E26)</f>
        <v>#REF!</v>
      </c>
      <c r="F36" s="130" t="e">
        <f>SUM(F10:F26)</f>
        <v>#REF!</v>
      </c>
    </row>
    <row r="37" spans="1:6" x14ac:dyDescent="0.2">
      <c r="A37" s="134"/>
      <c r="B37" s="135"/>
      <c r="C37" s="135"/>
      <c r="D37" s="136"/>
      <c r="E37" s="136"/>
      <c r="F37" s="137"/>
    </row>
    <row r="38" spans="1:6" x14ac:dyDescent="0.2">
      <c r="A38" s="146" t="s">
        <v>133</v>
      </c>
      <c r="B38" s="147" t="s">
        <v>134</v>
      </c>
      <c r="C38" s="147"/>
      <c r="D38" s="146" t="s">
        <v>43</v>
      </c>
      <c r="E38" s="146" t="s">
        <v>135</v>
      </c>
      <c r="F38" s="137"/>
    </row>
    <row r="39" spans="1:6" x14ac:dyDescent="0.2">
      <c r="A39" s="126" t="s">
        <v>136</v>
      </c>
      <c r="B39" s="138" t="e">
        <f>+E36</f>
        <v>#REF!</v>
      </c>
      <c r="C39" s="138"/>
      <c r="D39" s="139">
        <v>6.4000000000000001E-2</v>
      </c>
      <c r="E39" s="131" t="e">
        <f>+B39*D39</f>
        <v>#REF!</v>
      </c>
      <c r="F39" s="137"/>
    </row>
    <row r="40" spans="1:6" x14ac:dyDescent="0.2">
      <c r="A40" s="126" t="s">
        <v>112</v>
      </c>
      <c r="B40" s="138" t="e">
        <f>+F36</f>
        <v>#REF!</v>
      </c>
      <c r="C40" s="138"/>
      <c r="D40" s="139">
        <v>0.1346</v>
      </c>
      <c r="E40" s="131" t="e">
        <f>+B40*D40</f>
        <v>#REF!</v>
      </c>
      <c r="F40" s="136"/>
    </row>
    <row r="41" spans="1:6" x14ac:dyDescent="0.2">
      <c r="A41" s="435" t="s">
        <v>137</v>
      </c>
      <c r="B41" s="435"/>
      <c r="C41" s="435"/>
      <c r="D41" s="435"/>
      <c r="E41" s="131" t="e">
        <f>+E39+E40</f>
        <v>#REF!</v>
      </c>
      <c r="F41" s="136" t="s">
        <v>138</v>
      </c>
    </row>
    <row r="42" spans="1:6" x14ac:dyDescent="0.2">
      <c r="A42" s="126" t="s">
        <v>139</v>
      </c>
      <c r="B42" s="138" t="e">
        <f>+E36</f>
        <v>#REF!</v>
      </c>
      <c r="C42" s="127"/>
      <c r="D42" s="139">
        <v>1.6E-2</v>
      </c>
      <c r="E42" s="131" t="e">
        <f>+B42*D42</f>
        <v>#REF!</v>
      </c>
      <c r="F42" s="136"/>
    </row>
    <row r="43" spans="1:6" x14ac:dyDescent="0.2">
      <c r="A43" s="435" t="s">
        <v>140</v>
      </c>
      <c r="B43" s="435"/>
      <c r="C43" s="435"/>
      <c r="D43" s="435"/>
      <c r="E43" s="131" t="e">
        <f>+E42</f>
        <v>#REF!</v>
      </c>
      <c r="F43" s="136" t="s">
        <v>138</v>
      </c>
    </row>
    <row r="44" spans="1:6" x14ac:dyDescent="0.2">
      <c r="A44" s="140"/>
      <c r="B44" s="141"/>
      <c r="C44" s="142"/>
      <c r="D44" s="143"/>
      <c r="E44" s="144"/>
      <c r="F44" s="145"/>
    </row>
    <row r="45" spans="1:6" x14ac:dyDescent="0.2">
      <c r="A45" s="435" t="s">
        <v>141</v>
      </c>
      <c r="B45" s="435"/>
      <c r="C45" s="435"/>
      <c r="D45" s="435"/>
      <c r="E45" s="131" t="e">
        <f>+E41+E43</f>
        <v>#REF!</v>
      </c>
      <c r="F45" s="145"/>
    </row>
    <row r="46" spans="1:6" x14ac:dyDescent="0.2">
      <c r="A46" s="140"/>
      <c r="B46" s="141"/>
      <c r="C46" s="142"/>
      <c r="D46" s="143"/>
      <c r="E46" s="144"/>
      <c r="F46" s="145"/>
    </row>
    <row r="47" spans="1:6" x14ac:dyDescent="0.2">
      <c r="A47" s="126" t="s">
        <v>142</v>
      </c>
      <c r="B47" s="138" t="e">
        <f>+E36</f>
        <v>#REF!</v>
      </c>
      <c r="C47" s="138"/>
      <c r="D47" s="139">
        <v>1.8499999999999999E-2</v>
      </c>
      <c r="E47" s="131" t="e">
        <f>+B47*D47</f>
        <v>#REF!</v>
      </c>
      <c r="F47" s="136"/>
    </row>
    <row r="48" spans="1:6" x14ac:dyDescent="0.2">
      <c r="A48" s="126" t="s">
        <v>143</v>
      </c>
      <c r="B48" s="138" t="e">
        <f>+E36</f>
        <v>#REF!</v>
      </c>
      <c r="C48" s="138"/>
      <c r="D48" s="139">
        <v>4.5199999999999997E-2</v>
      </c>
      <c r="E48" s="131" t="e">
        <f>+B48*D48</f>
        <v>#REF!</v>
      </c>
      <c r="F48" s="136"/>
    </row>
    <row r="49" spans="1:7" x14ac:dyDescent="0.2">
      <c r="A49" s="435" t="s">
        <v>144</v>
      </c>
      <c r="B49" s="435"/>
      <c r="C49" s="435"/>
      <c r="D49" s="435"/>
      <c r="E49" s="131" t="e">
        <f>SUM(E47:E48)</f>
        <v>#REF!</v>
      </c>
      <c r="F49" s="136" t="s">
        <v>138</v>
      </c>
    </row>
    <row r="50" spans="1:7" x14ac:dyDescent="0.2">
      <c r="A50" s="145"/>
      <c r="B50" s="145"/>
      <c r="C50" s="145"/>
      <c r="D50" s="145"/>
      <c r="E50" s="144"/>
      <c r="F50" s="145"/>
    </row>
    <row r="51" spans="1:7" x14ac:dyDescent="0.2">
      <c r="A51" s="435" t="s">
        <v>145</v>
      </c>
      <c r="B51" s="435"/>
      <c r="C51" s="435"/>
      <c r="D51" s="435"/>
      <c r="E51" s="131" t="e">
        <f>+E49+E45</f>
        <v>#REF!</v>
      </c>
      <c r="F51" s="145"/>
    </row>
    <row r="54" spans="1:7" ht="15.75" thickBot="1" x14ac:dyDescent="0.25"/>
    <row r="55" spans="1:7" ht="21.75" thickBot="1" x14ac:dyDescent="0.35">
      <c r="B55" s="261" t="s">
        <v>265</v>
      </c>
      <c r="C55" s="245"/>
      <c r="D55" s="245"/>
      <c r="E55" s="283"/>
      <c r="F55" s="283"/>
      <c r="G55" s="284"/>
    </row>
  </sheetData>
  <mergeCells count="11">
    <mergeCell ref="A51:D51"/>
    <mergeCell ref="E8:F8"/>
    <mergeCell ref="A41:D41"/>
    <mergeCell ref="A43:D43"/>
    <mergeCell ref="A45:D45"/>
    <mergeCell ref="A49:D49"/>
    <mergeCell ref="A36:B36"/>
    <mergeCell ref="A8:A9"/>
    <mergeCell ref="B8:B9"/>
    <mergeCell ref="C8:C9"/>
    <mergeCell ref="D8:D9"/>
  </mergeCells>
  <pageMargins left="0.7" right="0.7" top="0.75" bottom="0.75" header="0.3" footer="0.3"/>
  <pageSetup paperSize="9" orientation="portrait" r:id="rId1"/>
  <ignoredErrors>
    <ignoredError sqref="E4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5</vt:i4>
      </vt:variant>
    </vt:vector>
  </HeadingPairs>
  <TitlesOfParts>
    <vt:vector size="13" baseType="lpstr">
      <vt:lpstr>SOMMAIRE</vt:lpstr>
      <vt:lpstr>A SAVOIR</vt:lpstr>
      <vt:lpstr>PARAMETRAGE</vt:lpstr>
      <vt:lpstr>FICHE SALARIES</vt:lpstr>
      <vt:lpstr>CALCUL SB &amp; HS</vt:lpstr>
      <vt:lpstr>PAIE</vt:lpstr>
      <vt:lpstr>LIVRE PAIE </vt:lpstr>
      <vt:lpstr>CNSS</vt:lpstr>
      <vt:lpstr>CODE</vt:lpstr>
      <vt:lpstr>CODE1</vt:lpstr>
      <vt:lpstr>MATRICULE</vt:lpstr>
      <vt:lpstr>MOIS</vt:lpstr>
      <vt:lpstr>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HASSAN132</dc:creator>
  <cp:lastModifiedBy>Mounir</cp:lastModifiedBy>
  <cp:lastPrinted>2016-06-07T00:30:05Z</cp:lastPrinted>
  <dcterms:created xsi:type="dcterms:W3CDTF">2015-07-11T23:49:22Z</dcterms:created>
  <dcterms:modified xsi:type="dcterms:W3CDTF">2023-01-31T13:29:44Z</dcterms:modified>
</cp:coreProperties>
</file>